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360" yWindow="675" windowWidth="11340" windowHeight="6195" tabRatio="801"/>
  </bookViews>
  <sheets>
    <sheet name="Tab.DERAL" sheetId="107" r:id="rId1"/>
    <sheet name="Plan1" sheetId="108" r:id="rId2"/>
    <sheet name="últ.10anosDERALlimites" sheetId="112" r:id="rId3"/>
    <sheet name="últ.10AnosDERAL" sheetId="111" r:id="rId4"/>
    <sheet name="Quadro reaj" sheetId="110" r:id="rId5"/>
    <sheet name="Plan2" sheetId="109" r:id="rId6"/>
  </sheets>
  <calcPr calcId="144525"/>
</workbook>
</file>

<file path=xl/calcChain.xml><?xml version="1.0" encoding="utf-8"?>
<calcChain xmlns="http://schemas.openxmlformats.org/spreadsheetml/2006/main">
  <c r="G24" i="107" l="1"/>
  <c r="G23" i="107"/>
  <c r="G22" i="107"/>
  <c r="G21" i="107"/>
  <c r="Y16" i="107"/>
  <c r="X16" i="107"/>
  <c r="Y15" i="107"/>
  <c r="X15" i="107"/>
  <c r="X14" i="107"/>
  <c r="Y14" i="107" s="1"/>
  <c r="X13" i="107"/>
  <c r="Y13" i="107" s="1"/>
  <c r="M12" i="111" l="1"/>
  <c r="I23" i="110" l="1"/>
  <c r="D13" i="110" l="1"/>
  <c r="D12" i="110"/>
  <c r="D11" i="110"/>
  <c r="K72" i="112" l="1"/>
  <c r="K61" i="112"/>
  <c r="J72" i="112"/>
  <c r="I72" i="112"/>
  <c r="I70" i="112"/>
  <c r="I69" i="112"/>
  <c r="I68" i="112"/>
  <c r="I67" i="112"/>
  <c r="B64" i="112"/>
  <c r="B63" i="112"/>
  <c r="B62" i="112"/>
  <c r="B61" i="112"/>
  <c r="Q55" i="112"/>
  <c r="P55" i="112"/>
  <c r="O55" i="112"/>
  <c r="N55" i="112"/>
  <c r="L55" i="112"/>
  <c r="Q54" i="112"/>
  <c r="P54" i="112"/>
  <c r="O54" i="112"/>
  <c r="N54" i="112"/>
  <c r="M54" i="112"/>
  <c r="M55" i="112" s="1"/>
  <c r="L54" i="112"/>
  <c r="K54" i="112"/>
  <c r="K55" i="112" s="1"/>
  <c r="J54" i="112"/>
  <c r="J55" i="112" s="1"/>
  <c r="I54" i="112"/>
  <c r="I63" i="112" s="1"/>
  <c r="J63" i="112" s="1"/>
  <c r="J69" i="112" s="1"/>
  <c r="Q53" i="112"/>
  <c r="P53" i="112"/>
  <c r="O53" i="112"/>
  <c r="N53" i="112"/>
  <c r="M53" i="112"/>
  <c r="L53" i="112"/>
  <c r="K53" i="112"/>
  <c r="J53" i="112"/>
  <c r="I53" i="112"/>
  <c r="I62" i="112" s="1"/>
  <c r="J62" i="112" s="1"/>
  <c r="J68" i="112" s="1"/>
  <c r="Q52" i="112"/>
  <c r="P52" i="112"/>
  <c r="O52" i="112"/>
  <c r="N52" i="112"/>
  <c r="M52" i="112"/>
  <c r="L52" i="112"/>
  <c r="L72" i="112" s="1"/>
  <c r="K52" i="112"/>
  <c r="J52" i="112"/>
  <c r="I52" i="112"/>
  <c r="I61" i="112" s="1"/>
  <c r="J61" i="112" s="1"/>
  <c r="J67" i="112" s="1"/>
  <c r="J47" i="112"/>
  <c r="K47" i="112" s="1"/>
  <c r="L47" i="112" s="1"/>
  <c r="M47" i="112" s="1"/>
  <c r="I47" i="112"/>
  <c r="D47" i="112"/>
  <c r="D46" i="112"/>
  <c r="D45" i="112"/>
  <c r="D44" i="112"/>
  <c r="I29" i="112"/>
  <c r="I28" i="112"/>
  <c r="I27" i="112"/>
  <c r="I26" i="112"/>
  <c r="I11" i="110"/>
  <c r="I24" i="110" s="1"/>
  <c r="I38" i="110" s="1"/>
  <c r="I12" i="110"/>
  <c r="I25" i="110" s="1"/>
  <c r="I39" i="110" s="1"/>
  <c r="I13" i="110"/>
  <c r="I10" i="110"/>
  <c r="I37" i="110" s="1"/>
  <c r="I26" i="110"/>
  <c r="B29" i="112"/>
  <c r="B28" i="112"/>
  <c r="B27" i="112"/>
  <c r="B26" i="112"/>
  <c r="Q20" i="112"/>
  <c r="P20" i="112"/>
  <c r="O20" i="112"/>
  <c r="Q19" i="112"/>
  <c r="P19" i="112"/>
  <c r="O19" i="112"/>
  <c r="N19" i="112"/>
  <c r="N20" i="112" s="1"/>
  <c r="M19" i="112"/>
  <c r="M20" i="112" s="1"/>
  <c r="L19" i="112"/>
  <c r="L20" i="112" s="1"/>
  <c r="K19" i="112"/>
  <c r="K20" i="112" s="1"/>
  <c r="J19" i="112"/>
  <c r="J20" i="112" s="1"/>
  <c r="I19" i="112"/>
  <c r="I34" i="112" s="1"/>
  <c r="Q18" i="112"/>
  <c r="P18" i="112"/>
  <c r="O18" i="112"/>
  <c r="N18" i="112"/>
  <c r="M18" i="112"/>
  <c r="L18" i="112"/>
  <c r="K18" i="112"/>
  <c r="J18" i="112"/>
  <c r="I18" i="112"/>
  <c r="I33" i="112" s="1"/>
  <c r="J27" i="112" s="1"/>
  <c r="Q17" i="112"/>
  <c r="P17" i="112"/>
  <c r="O17" i="112"/>
  <c r="N17" i="112"/>
  <c r="M17" i="112"/>
  <c r="L17" i="112"/>
  <c r="K17" i="112"/>
  <c r="J17" i="112"/>
  <c r="I17" i="112"/>
  <c r="I32" i="112" s="1"/>
  <c r="I12" i="112"/>
  <c r="J12" i="112" s="1"/>
  <c r="K12" i="112" s="1"/>
  <c r="L12" i="112" s="1"/>
  <c r="M12" i="112" s="1"/>
  <c r="D12" i="112"/>
  <c r="D11" i="112"/>
  <c r="D10" i="112"/>
  <c r="D9" i="112"/>
  <c r="F38" i="110"/>
  <c r="F39" i="110"/>
  <c r="H39" i="110" s="1"/>
  <c r="F40" i="110"/>
  <c r="H40" i="110" s="1"/>
  <c r="F37" i="110"/>
  <c r="F24" i="110"/>
  <c r="F25" i="110"/>
  <c r="F26" i="110"/>
  <c r="F23" i="110"/>
  <c r="C41" i="110"/>
  <c r="H38" i="110"/>
  <c r="H37" i="110"/>
  <c r="C27" i="110"/>
  <c r="H26" i="110"/>
  <c r="H25" i="110"/>
  <c r="H24" i="110"/>
  <c r="H23" i="110"/>
  <c r="K63" i="112" l="1"/>
  <c r="K62" i="112"/>
  <c r="I55" i="112"/>
  <c r="I64" i="112" s="1"/>
  <c r="J64" i="112" s="1"/>
  <c r="J70" i="112" s="1"/>
  <c r="J26" i="112"/>
  <c r="J32" i="112" s="1"/>
  <c r="J28" i="112"/>
  <c r="J34" i="112" s="1"/>
  <c r="J33" i="112"/>
  <c r="I20" i="112"/>
  <c r="I35" i="112" s="1"/>
  <c r="I40" i="110"/>
  <c r="J40" i="110" s="1"/>
  <c r="J39" i="110"/>
  <c r="J37" i="110"/>
  <c r="J24" i="110"/>
  <c r="J38" i="110"/>
  <c r="J23" i="110"/>
  <c r="J25" i="110"/>
  <c r="J26" i="110"/>
  <c r="K40" i="111"/>
  <c r="K41" i="111"/>
  <c r="K42" i="111"/>
  <c r="K43" i="111"/>
  <c r="J43" i="111"/>
  <c r="J49" i="111" s="1"/>
  <c r="J42" i="111"/>
  <c r="J48" i="111" s="1"/>
  <c r="J41" i="111"/>
  <c r="J47" i="111" s="1"/>
  <c r="J40" i="111"/>
  <c r="J46" i="111" s="1"/>
  <c r="I47" i="111"/>
  <c r="I48" i="111"/>
  <c r="I49" i="111"/>
  <c r="I46" i="111"/>
  <c r="I40" i="111"/>
  <c r="K68" i="112" l="1"/>
  <c r="L62" i="112" s="1"/>
  <c r="K67" i="112"/>
  <c r="L61" i="112" s="1"/>
  <c r="K69" i="112"/>
  <c r="L63" i="112" s="1"/>
  <c r="K64" i="112"/>
  <c r="K28" i="112"/>
  <c r="K34" i="112" s="1"/>
  <c r="K26" i="112"/>
  <c r="K32" i="112" s="1"/>
  <c r="J29" i="112"/>
  <c r="J35" i="112" s="1"/>
  <c r="K27" i="112"/>
  <c r="K33" i="112" s="1"/>
  <c r="J41" i="110"/>
  <c r="J43" i="110" s="1"/>
  <c r="J27" i="110"/>
  <c r="J29" i="110" s="1"/>
  <c r="B43" i="111"/>
  <c r="B42" i="111"/>
  <c r="B41" i="111"/>
  <c r="B40" i="111"/>
  <c r="F35" i="111"/>
  <c r="B35" i="111"/>
  <c r="F34" i="111"/>
  <c r="B34" i="111"/>
  <c r="F33" i="111"/>
  <c r="B33" i="111"/>
  <c r="F32" i="111"/>
  <c r="B32" i="111"/>
  <c r="L67" i="112" l="1"/>
  <c r="L69" i="112"/>
  <c r="M63" i="112" s="1"/>
  <c r="L68" i="112"/>
  <c r="M62" i="112" s="1"/>
  <c r="K70" i="112"/>
  <c r="L64" i="112" s="1"/>
  <c r="L26" i="112"/>
  <c r="L32" i="112" s="1"/>
  <c r="L27" i="112"/>
  <c r="L33" i="112" s="1"/>
  <c r="K29" i="112"/>
  <c r="K35" i="112" s="1"/>
  <c r="L28" i="112"/>
  <c r="L34" i="112" s="1"/>
  <c r="K43" i="110"/>
  <c r="L44" i="110" s="1"/>
  <c r="B28" i="111"/>
  <c r="B26" i="111"/>
  <c r="B27" i="111"/>
  <c r="B25" i="111"/>
  <c r="D9" i="111"/>
  <c r="D10" i="111"/>
  <c r="D11" i="111"/>
  <c r="D12" i="111"/>
  <c r="P17" i="111"/>
  <c r="Q17" i="111"/>
  <c r="P18" i="111"/>
  <c r="Q18" i="111"/>
  <c r="P19" i="111"/>
  <c r="Q19" i="111"/>
  <c r="P20" i="111"/>
  <c r="Q20" i="111"/>
  <c r="O20" i="111"/>
  <c r="O17" i="111"/>
  <c r="O18" i="111"/>
  <c r="O19" i="111"/>
  <c r="M17" i="111"/>
  <c r="N17" i="111"/>
  <c r="M18" i="111"/>
  <c r="N18" i="111"/>
  <c r="M19" i="111"/>
  <c r="M20" i="111" s="1"/>
  <c r="N19" i="111"/>
  <c r="N20" i="111" s="1"/>
  <c r="L18" i="111"/>
  <c r="L19" i="111"/>
  <c r="L20" i="111" s="1"/>
  <c r="L17" i="111"/>
  <c r="J18" i="111"/>
  <c r="K18" i="111"/>
  <c r="J19" i="111"/>
  <c r="J20" i="111" s="1"/>
  <c r="K19" i="111"/>
  <c r="K20" i="111" s="1"/>
  <c r="K17" i="111"/>
  <c r="J17" i="111"/>
  <c r="I18" i="111"/>
  <c r="I19" i="111"/>
  <c r="I17" i="111"/>
  <c r="M61" i="112" l="1"/>
  <c r="M67" i="112" s="1"/>
  <c r="M72" i="112"/>
  <c r="L70" i="112"/>
  <c r="M64" i="112" s="1"/>
  <c r="M69" i="112"/>
  <c r="N63" i="112" s="1"/>
  <c r="M68" i="112"/>
  <c r="N62" i="112" s="1"/>
  <c r="M27" i="112"/>
  <c r="M33" i="112" s="1"/>
  <c r="M28" i="112"/>
  <c r="M34" i="112" s="1"/>
  <c r="L29" i="112"/>
  <c r="L35" i="112" s="1"/>
  <c r="M26" i="112"/>
  <c r="M32" i="112" s="1"/>
  <c r="I32" i="111"/>
  <c r="J32" i="111" s="1"/>
  <c r="K32" i="111" s="1"/>
  <c r="L32" i="111" s="1"/>
  <c r="M32" i="111" s="1"/>
  <c r="N32" i="111" s="1"/>
  <c r="O32" i="111" s="1"/>
  <c r="P32" i="111" s="1"/>
  <c r="Q32" i="111" s="1"/>
  <c r="I25" i="111"/>
  <c r="J25" i="111" s="1"/>
  <c r="K25" i="111" s="1"/>
  <c r="L25" i="111" s="1"/>
  <c r="M25" i="111" s="1"/>
  <c r="N25" i="111" s="1"/>
  <c r="O25" i="111" s="1"/>
  <c r="P25" i="111" s="1"/>
  <c r="Q25" i="111" s="1"/>
  <c r="I41" i="111"/>
  <c r="I26" i="111"/>
  <c r="J26" i="111" s="1"/>
  <c r="K26" i="111" s="1"/>
  <c r="L26" i="111" s="1"/>
  <c r="M26" i="111" s="1"/>
  <c r="N26" i="111" s="1"/>
  <c r="O26" i="111" s="1"/>
  <c r="P26" i="111" s="1"/>
  <c r="Q26" i="111" s="1"/>
  <c r="I33" i="111"/>
  <c r="J33" i="111" s="1"/>
  <c r="K33" i="111" s="1"/>
  <c r="L33" i="111" s="1"/>
  <c r="M33" i="111" s="1"/>
  <c r="N33" i="111" s="1"/>
  <c r="O33" i="111" s="1"/>
  <c r="P33" i="111" s="1"/>
  <c r="Q33" i="111" s="1"/>
  <c r="I42" i="111"/>
  <c r="I34" i="111"/>
  <c r="J34" i="111" s="1"/>
  <c r="K34" i="111" s="1"/>
  <c r="L34" i="111" s="1"/>
  <c r="M34" i="111" s="1"/>
  <c r="N34" i="111" s="1"/>
  <c r="O34" i="111" s="1"/>
  <c r="P34" i="111" s="1"/>
  <c r="Q34" i="111" s="1"/>
  <c r="I27" i="111"/>
  <c r="J27" i="111" s="1"/>
  <c r="K27" i="111" s="1"/>
  <c r="L27" i="111" s="1"/>
  <c r="M27" i="111" s="1"/>
  <c r="N27" i="111" s="1"/>
  <c r="O27" i="111" s="1"/>
  <c r="P27" i="111" s="1"/>
  <c r="Q27" i="111" s="1"/>
  <c r="I20" i="111"/>
  <c r="I43" i="111" s="1"/>
  <c r="I12" i="111"/>
  <c r="H11" i="110"/>
  <c r="J11" i="110" s="1"/>
  <c r="H12" i="110"/>
  <c r="J12" i="110" s="1"/>
  <c r="H13" i="110"/>
  <c r="J13" i="110" s="1"/>
  <c r="H10" i="110"/>
  <c r="J10" i="110" s="1"/>
  <c r="C14" i="110"/>
  <c r="E13" i="110"/>
  <c r="E12" i="110"/>
  <c r="E11" i="110"/>
  <c r="E10" i="110"/>
  <c r="T56" i="108"/>
  <c r="T55" i="108"/>
  <c r="T54" i="108"/>
  <c r="T53" i="108"/>
  <c r="B67" i="108"/>
  <c r="D66" i="108"/>
  <c r="D65" i="108"/>
  <c r="D64" i="108"/>
  <c r="D63" i="108"/>
  <c r="Q56" i="108"/>
  <c r="Q55" i="108"/>
  <c r="Q54" i="108"/>
  <c r="Q53" i="108"/>
  <c r="J53" i="108"/>
  <c r="N53" i="108" s="1"/>
  <c r="J54" i="108"/>
  <c r="N54" i="108" s="1"/>
  <c r="J55" i="108"/>
  <c r="N55" i="108" s="1"/>
  <c r="J56" i="108"/>
  <c r="N56" i="108" s="1"/>
  <c r="B57" i="108"/>
  <c r="D54" i="108"/>
  <c r="D55" i="108"/>
  <c r="D56" i="108"/>
  <c r="D53" i="108"/>
  <c r="N61" i="112" l="1"/>
  <c r="N72" i="112"/>
  <c r="N69" i="112"/>
  <c r="O63" i="112" s="1"/>
  <c r="N67" i="112"/>
  <c r="N68" i="112"/>
  <c r="O62" i="112" s="1"/>
  <c r="M70" i="112"/>
  <c r="N64" i="112" s="1"/>
  <c r="N28" i="112"/>
  <c r="N34" i="112" s="1"/>
  <c r="N26" i="112"/>
  <c r="N32" i="112" s="1"/>
  <c r="M29" i="112"/>
  <c r="M35" i="112" s="1"/>
  <c r="N27" i="112"/>
  <c r="N33" i="112" s="1"/>
  <c r="J14" i="110"/>
  <c r="J16" i="110" s="1"/>
  <c r="K29" i="110" s="1"/>
  <c r="L30" i="110" s="1"/>
  <c r="K49" i="111"/>
  <c r="L43" i="111" s="1"/>
  <c r="K47" i="111"/>
  <c r="L41" i="111" s="1"/>
  <c r="K48" i="111"/>
  <c r="L42" i="111" s="1"/>
  <c r="K46" i="111"/>
  <c r="L40" i="111" s="1"/>
  <c r="J12" i="111"/>
  <c r="K12" i="111" s="1"/>
  <c r="L12" i="111" s="1"/>
  <c r="I35" i="111"/>
  <c r="J35" i="111" s="1"/>
  <c r="I28" i="111"/>
  <c r="J28" i="111" s="1"/>
  <c r="K28" i="111" s="1"/>
  <c r="L28" i="111" s="1"/>
  <c r="M28" i="111" s="1"/>
  <c r="N28" i="111" s="1"/>
  <c r="O28" i="111" s="1"/>
  <c r="P28" i="111" s="1"/>
  <c r="Q28" i="111" s="1"/>
  <c r="D57" i="108"/>
  <c r="D59" i="108" s="1"/>
  <c r="E14" i="110"/>
  <c r="E16" i="110" s="1"/>
  <c r="K16" i="110" s="1"/>
  <c r="D67" i="108"/>
  <c r="D69" i="108" s="1"/>
  <c r="G12" i="109"/>
  <c r="G13" i="109" s="1"/>
  <c r="G36" i="109"/>
  <c r="G35" i="109"/>
  <c r="G34" i="109"/>
  <c r="G33" i="109"/>
  <c r="G32" i="109"/>
  <c r="G31" i="109"/>
  <c r="G30" i="109"/>
  <c r="G29" i="109"/>
  <c r="G28" i="109"/>
  <c r="G27" i="109"/>
  <c r="G26" i="109"/>
  <c r="G25" i="109"/>
  <c r="G24" i="109"/>
  <c r="K23" i="109"/>
  <c r="K24" i="109" s="1"/>
  <c r="K25" i="109" s="1"/>
  <c r="K26" i="109" s="1"/>
  <c r="K27" i="109" s="1"/>
  <c r="K28" i="109" s="1"/>
  <c r="K29" i="109" s="1"/>
  <c r="K30" i="109" s="1"/>
  <c r="K31" i="109" s="1"/>
  <c r="K32" i="109" s="1"/>
  <c r="K33" i="109" s="1"/>
  <c r="K34" i="109" s="1"/>
  <c r="K35" i="109" s="1"/>
  <c r="K36" i="109" s="1"/>
  <c r="G23" i="109"/>
  <c r="H23" i="109" s="1"/>
  <c r="E18" i="109"/>
  <c r="F9" i="109"/>
  <c r="F10" i="109" s="1"/>
  <c r="F11" i="109" s="1"/>
  <c r="E9" i="109"/>
  <c r="E10" i="109" s="1"/>
  <c r="E11" i="109" s="1"/>
  <c r="D9" i="109"/>
  <c r="D10" i="109" s="1"/>
  <c r="D11" i="109" s="1"/>
  <c r="M27" i="108"/>
  <c r="M29" i="108" s="1"/>
  <c r="L27" i="108"/>
  <c r="L29" i="108" s="1"/>
  <c r="K27" i="108"/>
  <c r="K29" i="108" s="1"/>
  <c r="J27" i="108"/>
  <c r="J29" i="108" s="1"/>
  <c r="H25" i="108"/>
  <c r="H56" i="108" s="1"/>
  <c r="K56" i="108" s="1"/>
  <c r="L56" i="108" s="1"/>
  <c r="H24" i="108"/>
  <c r="H55" i="108" s="1"/>
  <c r="K55" i="108" s="1"/>
  <c r="L55" i="108" s="1"/>
  <c r="H23" i="108"/>
  <c r="H54" i="108" s="1"/>
  <c r="K54" i="108" s="1"/>
  <c r="L54" i="108" s="1"/>
  <c r="H22" i="108"/>
  <c r="H53" i="108" s="1"/>
  <c r="K53" i="108" s="1"/>
  <c r="L53" i="108" s="1"/>
  <c r="K63" i="108" s="1"/>
  <c r="L63" i="108" s="1"/>
  <c r="O61" i="112" l="1"/>
  <c r="O67" i="112" s="1"/>
  <c r="O72" i="112"/>
  <c r="N70" i="112"/>
  <c r="O64" i="112" s="1"/>
  <c r="O68" i="112"/>
  <c r="P62" i="112" s="1"/>
  <c r="O69" i="112"/>
  <c r="P63" i="112" s="1"/>
  <c r="O26" i="112"/>
  <c r="O32" i="112" s="1"/>
  <c r="O27" i="112"/>
  <c r="O33" i="112" s="1"/>
  <c r="N29" i="112"/>
  <c r="N35" i="112" s="1"/>
  <c r="O28" i="112"/>
  <c r="O34" i="112" s="1"/>
  <c r="L48" i="111"/>
  <c r="M42" i="111" s="1"/>
  <c r="L47" i="111"/>
  <c r="M41" i="111" s="1"/>
  <c r="L49" i="111"/>
  <c r="M43" i="111" s="1"/>
  <c r="L46" i="111"/>
  <c r="M40" i="111" s="1"/>
  <c r="K35" i="111"/>
  <c r="L35" i="111" s="1"/>
  <c r="M35" i="111" s="1"/>
  <c r="N35" i="111" s="1"/>
  <c r="O35" i="111" s="1"/>
  <c r="P35" i="111" s="1"/>
  <c r="Q35" i="111" s="1"/>
  <c r="K64" i="108"/>
  <c r="L64" i="108" s="1"/>
  <c r="O54" i="108"/>
  <c r="K66" i="108"/>
  <c r="L66" i="108" s="1"/>
  <c r="O56" i="108"/>
  <c r="K65" i="108"/>
  <c r="L65" i="108" s="1"/>
  <c r="O55" i="108"/>
  <c r="L67" i="108"/>
  <c r="L69" i="108" s="1"/>
  <c r="O53" i="108"/>
  <c r="H27" i="108"/>
  <c r="H29" i="108" s="1"/>
  <c r="J23" i="109"/>
  <c r="H24" i="109"/>
  <c r="I23" i="109"/>
  <c r="M31" i="108"/>
  <c r="M32" i="108" s="1"/>
  <c r="M36" i="108" s="1"/>
  <c r="M38" i="108" s="1"/>
  <c r="K31" i="108"/>
  <c r="K32" i="108" s="1"/>
  <c r="K36" i="108" s="1"/>
  <c r="K38" i="108" s="1"/>
  <c r="J31" i="108"/>
  <c r="J32" i="108" s="1"/>
  <c r="J36" i="108" s="1"/>
  <c r="J38" i="108" s="1"/>
  <c r="L31" i="108"/>
  <c r="L32" i="108" s="1"/>
  <c r="L36" i="108" s="1"/>
  <c r="L38" i="108" s="1"/>
  <c r="P61" i="112" l="1"/>
  <c r="P72" i="112"/>
  <c r="P69" i="112"/>
  <c r="Q63" i="112" s="1"/>
  <c r="Q69" i="112" s="1"/>
  <c r="P67" i="112"/>
  <c r="P68" i="112"/>
  <c r="Q62" i="112" s="1"/>
  <c r="Q68" i="112" s="1"/>
  <c r="O70" i="112"/>
  <c r="P64" i="112" s="1"/>
  <c r="P28" i="112"/>
  <c r="P34" i="112" s="1"/>
  <c r="P27" i="112"/>
  <c r="P33" i="112" s="1"/>
  <c r="O29" i="112"/>
  <c r="O35" i="112" s="1"/>
  <c r="P26" i="112"/>
  <c r="P32" i="112" s="1"/>
  <c r="M49" i="111"/>
  <c r="N43" i="111" s="1"/>
  <c r="M47" i="111"/>
  <c r="N41" i="111" s="1"/>
  <c r="M48" i="111"/>
  <c r="N42" i="111" s="1"/>
  <c r="M46" i="111"/>
  <c r="N40" i="111" s="1"/>
  <c r="N63" i="108"/>
  <c r="O63" i="108" s="1"/>
  <c r="R53" i="108"/>
  <c r="N65" i="108"/>
  <c r="O65" i="108" s="1"/>
  <c r="R55" i="108"/>
  <c r="N66" i="108"/>
  <c r="O66" i="108" s="1"/>
  <c r="R56" i="108"/>
  <c r="N64" i="108"/>
  <c r="O64" i="108" s="1"/>
  <c r="R54" i="108"/>
  <c r="H25" i="109"/>
  <c r="I24" i="109"/>
  <c r="J24" i="109"/>
  <c r="J44" i="108"/>
  <c r="J42" i="108"/>
  <c r="K42" i="108" s="1"/>
  <c r="L42" i="108" s="1"/>
  <c r="M42" i="108" s="1"/>
  <c r="J45" i="108"/>
  <c r="J43" i="108"/>
  <c r="K45" i="108"/>
  <c r="L45" i="108" s="1"/>
  <c r="M45" i="108" s="1"/>
  <c r="K43" i="108"/>
  <c r="L43" i="108" s="1"/>
  <c r="M43" i="108" s="1"/>
  <c r="K44" i="108"/>
  <c r="L44" i="108" s="1"/>
  <c r="M44" i="108" s="1"/>
  <c r="Q61" i="112" l="1"/>
  <c r="Q67" i="112" s="1"/>
  <c r="Q72" i="112"/>
  <c r="P70" i="112"/>
  <c r="Q64" i="112" s="1"/>
  <c r="Q70" i="112" s="1"/>
  <c r="Q27" i="112"/>
  <c r="Q33" i="112" s="1"/>
  <c r="Q26" i="112"/>
  <c r="Q32" i="112" s="1"/>
  <c r="P29" i="112"/>
  <c r="P35" i="112" s="1"/>
  <c r="Q28" i="112"/>
  <c r="Q34" i="112" s="1"/>
  <c r="N48" i="111"/>
  <c r="O42" i="111" s="1"/>
  <c r="N47" i="111"/>
  <c r="O41" i="111" s="1"/>
  <c r="N49" i="111"/>
  <c r="O43" i="111" s="1"/>
  <c r="N46" i="111"/>
  <c r="O40" i="111" s="1"/>
  <c r="Q64" i="108"/>
  <c r="R64" i="108" s="1"/>
  <c r="U54" i="108"/>
  <c r="T64" i="108" s="1"/>
  <c r="U64" i="108" s="1"/>
  <c r="Q66" i="108"/>
  <c r="R66" i="108" s="1"/>
  <c r="U56" i="108"/>
  <c r="T66" i="108" s="1"/>
  <c r="U66" i="108" s="1"/>
  <c r="Q65" i="108"/>
  <c r="R65" i="108" s="1"/>
  <c r="U55" i="108"/>
  <c r="T65" i="108" s="1"/>
  <c r="U65" i="108" s="1"/>
  <c r="Q63" i="108"/>
  <c r="R63" i="108" s="1"/>
  <c r="R67" i="108" s="1"/>
  <c r="R69" i="108" s="1"/>
  <c r="U53" i="108"/>
  <c r="T63" i="108" s="1"/>
  <c r="U63" i="108" s="1"/>
  <c r="U67" i="108" s="1"/>
  <c r="U69" i="108" s="1"/>
  <c r="O67" i="108"/>
  <c r="O69" i="108" s="1"/>
  <c r="J25" i="109"/>
  <c r="H26" i="109"/>
  <c r="I25" i="109"/>
  <c r="Q29" i="112" l="1"/>
  <c r="Q35" i="112" s="1"/>
  <c r="O49" i="111"/>
  <c r="P43" i="111" s="1"/>
  <c r="O47" i="111"/>
  <c r="P41" i="111" s="1"/>
  <c r="O48" i="111"/>
  <c r="P42" i="111" s="1"/>
  <c r="O46" i="111"/>
  <c r="P40" i="111" s="1"/>
  <c r="H27" i="109"/>
  <c r="I26" i="109"/>
  <c r="J26" i="109"/>
  <c r="P48" i="111" l="1"/>
  <c r="Q42" i="111" s="1"/>
  <c r="Q48" i="111" s="1"/>
  <c r="P47" i="111"/>
  <c r="Q41" i="111" s="1"/>
  <c r="Q47" i="111" s="1"/>
  <c r="P49" i="111"/>
  <c r="Q43" i="111" s="1"/>
  <c r="Q49" i="111" s="1"/>
  <c r="P46" i="111"/>
  <c r="Q40" i="111" s="1"/>
  <c r="Q46" i="111" s="1"/>
  <c r="J27" i="109"/>
  <c r="H28" i="109"/>
  <c r="I27" i="109"/>
  <c r="H29" i="109" l="1"/>
  <c r="I28" i="109"/>
  <c r="J28" i="109"/>
  <c r="J29" i="109" l="1"/>
  <c r="H30" i="109"/>
  <c r="I29" i="109"/>
  <c r="H31" i="109" l="1"/>
  <c r="I30" i="109"/>
  <c r="J30" i="109"/>
  <c r="J31" i="109" l="1"/>
  <c r="H32" i="109"/>
  <c r="I31" i="109"/>
  <c r="H33" i="109" l="1"/>
  <c r="I32" i="109"/>
  <c r="J32" i="109"/>
  <c r="J33" i="109" l="1"/>
  <c r="H34" i="109"/>
  <c r="I33" i="109"/>
  <c r="H35" i="109" l="1"/>
  <c r="I34" i="109"/>
  <c r="J34" i="109"/>
  <c r="J35" i="109" l="1"/>
  <c r="H36" i="109"/>
  <c r="I35" i="109"/>
  <c r="I36" i="109" l="1"/>
  <c r="J36" i="109"/>
</calcChain>
</file>

<file path=xl/sharedStrings.xml><?xml version="1.0" encoding="utf-8"?>
<sst xmlns="http://schemas.openxmlformats.org/spreadsheetml/2006/main" count="359" uniqueCount="138">
  <si>
    <t>chec</t>
  </si>
  <si>
    <t xml:space="preserve">                                    SECRETARIA DE ESTADO DA AGRICULTURA E DO ABASTECIMENTO - SEAB</t>
  </si>
  <si>
    <t xml:space="preserve">                                    DEPARTAMENTO DE ECONOMIA RURAL - DERAL</t>
  </si>
  <si>
    <r>
      <t>LEVANTAMENTO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SEMESTRAL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PREÇOS FLORESTAIS (REFERÊNCIA OUTUBRO 2015)</t>
    </r>
  </si>
  <si>
    <t>Produto</t>
  </si>
  <si>
    <t>unidade</t>
  </si>
  <si>
    <t>Apucarana</t>
  </si>
  <si>
    <t>Campo Mourão</t>
  </si>
  <si>
    <t>Cascavel</t>
  </si>
  <si>
    <t>Cianorte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</si>
  <si>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</si>
  <si>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</si>
  <si>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</si>
  <si>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</si>
  <si>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</si>
  <si>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</si>
  <si>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</si>
  <si>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</si>
  <si>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</si>
  <si>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</si>
  <si>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</si>
  <si>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</si>
  <si>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</si>
  <si>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</si>
  <si>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</si>
  <si>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</si>
  <si>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</si>
  <si>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</si>
  <si>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</si>
  <si>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</si>
  <si>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R$/m³</t>
  </si>
  <si>
    <t>Toras em Pé no Produtor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</si>
  <si>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</si>
  <si>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</si>
  <si>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</si>
  <si>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</si>
  <si>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R$/ST</t>
  </si>
  <si>
    <t>conversão</t>
  </si>
  <si>
    <t>M3 P/ST</t>
  </si>
  <si>
    <t>n° bitolas</t>
  </si>
  <si>
    <t>média dos P.U</t>
  </si>
  <si>
    <t>IGPM</t>
  </si>
  <si>
    <t>% VAR.IGPM no período</t>
  </si>
  <si>
    <t>%Var.DERAL no período</t>
  </si>
  <si>
    <t>Soma Índices %variação(Deral+IGPM)</t>
  </si>
  <si>
    <t>n° de índices</t>
  </si>
  <si>
    <t>Soma P.U-DERAL</t>
  </si>
  <si>
    <t>Var. R$ entre as divulg.preços</t>
  </si>
  <si>
    <t>Média dos % variação DERAL + IGPM P/PERÍODO</t>
  </si>
  <si>
    <t>Preços Unitários Iniciais - Contrato</t>
  </si>
  <si>
    <t>8-18 cm</t>
  </si>
  <si>
    <t>18-25 cm</t>
  </si>
  <si>
    <t>25-35 cm</t>
  </si>
  <si>
    <t>acima 35 cm</t>
  </si>
  <si>
    <t>Preços Unitários atualizados</t>
  </si>
  <si>
    <t>vr. Normal</t>
  </si>
  <si>
    <t>vr.c/desc</t>
  </si>
  <si>
    <t>vr.desc</t>
  </si>
  <si>
    <t>%desc</t>
  </si>
  <si>
    <t>set</t>
  </si>
  <si>
    <t>ago</t>
  </si>
  <si>
    <t>jul</t>
  </si>
  <si>
    <t>jun</t>
  </si>
  <si>
    <t>Digitar VO</t>
  </si>
  <si>
    <t>MESES</t>
  </si>
  <si>
    <t>NºParc</t>
  </si>
  <si>
    <t>%</t>
  </si>
  <si>
    <t>%Mês</t>
  </si>
  <si>
    <t>%Acum.</t>
  </si>
  <si>
    <t>Vr.Corrig</t>
  </si>
  <si>
    <t>ANEXO X - TABELA DERAL</t>
  </si>
  <si>
    <t>Diâmetros</t>
  </si>
  <si>
    <t>Estéreos</t>
  </si>
  <si>
    <t>Preço Unitário</t>
  </si>
  <si>
    <t>Valor  mínimo</t>
  </si>
  <si>
    <t>Aproximados</t>
  </si>
  <si>
    <t>mínimo (R$)</t>
  </si>
  <si>
    <t>Total (R$)</t>
  </si>
  <si>
    <t>08 a 18 cm na ponta fina</t>
  </si>
  <si>
    <t>18 a 25 cm na ponta fina</t>
  </si>
  <si>
    <t>25 a 35 cm na ponta fina</t>
  </si>
  <si>
    <t>Acima de 35 cm na ponta fina</t>
  </si>
  <si>
    <t>Soma</t>
  </si>
  <si>
    <t>%VAR</t>
  </si>
  <si>
    <t>NOVO PU</t>
  </si>
  <si>
    <t>DERAL</t>
  </si>
  <si>
    <t>TAB.INICIAL</t>
  </si>
  <si>
    <t>VR. PARC</t>
  </si>
  <si>
    <t>VR. PARCELA</t>
  </si>
  <si>
    <t>Tabela Deral</t>
  </si>
  <si>
    <t>P.U/ST</t>
  </si>
  <si>
    <t>Atualizados</t>
  </si>
  <si>
    <t>%reajuste</t>
  </si>
  <si>
    <t>Vr.Parcela</t>
  </si>
  <si>
    <t>n° Parcelas</t>
  </si>
  <si>
    <t>Tabela DERAL</t>
  </si>
  <si>
    <t>na ass.contrato</t>
  </si>
  <si>
    <t>1°Reaj-10/16</t>
  </si>
  <si>
    <t>(R$)</t>
  </si>
  <si>
    <t xml:space="preserve">Valor </t>
  </si>
  <si>
    <t>Valor</t>
  </si>
  <si>
    <t>Total R$</t>
  </si>
  <si>
    <t>Vr.Parcela reajustada</t>
  </si>
  <si>
    <t>Novos P.U</t>
  </si>
  <si>
    <t>Preços Iniciais vigentes para os 6 meses iniciais</t>
  </si>
  <si>
    <t>TORAS EM PÉ NO PRODUTOR - PONTA GROSSA( R$/m³)</t>
  </si>
  <si>
    <t xml:space="preserve">TORAS EM PÉ NO PRODUTOR - PONTA GROSSA( R$/m³)
</t>
  </si>
  <si>
    <t>set/04 a set/06</t>
  </si>
  <si>
    <t>set/06 a set/07</t>
  </si>
  <si>
    <t>set/07 a set/08</t>
  </si>
  <si>
    <t>set/08 a set/10</t>
  </si>
  <si>
    <t>set/10 a set/11</t>
  </si>
  <si>
    <t>set/11 a set/12</t>
  </si>
  <si>
    <t>set/12 a out/13</t>
  </si>
  <si>
    <t>out/13 a out/14</t>
  </si>
  <si>
    <t>out/14 a out/15</t>
  </si>
  <si>
    <t>pu-ifpr</t>
  </si>
  <si>
    <t>puDeral</t>
  </si>
  <si>
    <t>%var</t>
  </si>
  <si>
    <t>DERAL NÃO TINHA PREÇOS P/&gt;35CM</t>
  </si>
  <si>
    <t>%&gt;35C, REPETIDO DO 25-35CM</t>
  </si>
  <si>
    <t>IFPR-9/2004</t>
  </si>
  <si>
    <t>Limite DERAL</t>
  </si>
  <si>
    <t>Limite diferença %inicial IFPR x DERAL</t>
  </si>
  <si>
    <t>Limite mínimo PU inicial IFPR</t>
  </si>
  <si>
    <t>Limite Máximo DERAL</t>
  </si>
  <si>
    <t>2°Reaj-05/17</t>
  </si>
  <si>
    <t>SemestreAnterior</t>
  </si>
  <si>
    <t>3°Reaj-10/17</t>
  </si>
  <si>
    <t>TESTES</t>
  </si>
  <si>
    <t>VARIAÇÃO PREÇOS DERAL</t>
  </si>
  <si>
    <t>pelo %Deral</t>
  </si>
  <si>
    <t>obs:alterado pu 25p/23 -8-18cm</t>
  </si>
  <si>
    <r>
      <rPr>
        <sz val="6"/>
        <color rgb="FFFF0000"/>
        <rFont val="Arial"/>
        <family val="2"/>
      </rPr>
      <t>Primeiro</t>
    </r>
    <r>
      <rPr>
        <sz val="6"/>
        <rFont val="Arial"/>
        <family val="2"/>
      </rPr>
      <t xml:space="preserve"> Reajuste válidos para os próximos 6 meses após os 6 meses anteriores</t>
    </r>
  </si>
  <si>
    <r>
      <rPr>
        <sz val="6"/>
        <color rgb="FFFF0000"/>
        <rFont val="Arial"/>
        <family val="2"/>
      </rPr>
      <t>Segundo</t>
    </r>
    <r>
      <rPr>
        <sz val="6"/>
        <rFont val="Arial"/>
        <family val="2"/>
      </rPr>
      <t xml:space="preserve"> Reajuste válidos para os próximos 6 meses após os 6 meses anteriores</t>
    </r>
  </si>
  <si>
    <r>
      <rPr>
        <sz val="6"/>
        <color rgb="FFFF0000"/>
        <rFont val="Arial"/>
        <family val="2"/>
      </rPr>
      <t>Terceiro</t>
    </r>
    <r>
      <rPr>
        <sz val="6"/>
        <rFont val="Arial"/>
        <family val="2"/>
      </rPr>
      <t xml:space="preserve"> Reajuste válidos para os próximos 6 meses após os 6 meses anteriores</t>
    </r>
  </si>
  <si>
    <r>
      <t>LEVANTAMENTO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SEMESTRAL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PREÇOS FLORESTAIS (REFERÊNCIA MAIO 2016)</t>
    </r>
  </si>
  <si>
    <t>EDITAL DE PREGÃO PRESENCIAL IFPR/CONCESSÃO/013/2016.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</si>
</sst>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_ ;[Red]\-#,##0.00\ "/>
    <numFmt numFmtId="167" formatCode="0.0"/>
    <numFmt numFmtId="168" formatCode="#,##0.0000_ ;[Red]\-#,##0.0000\ "/>
    <numFmt numFmtId="169" formatCode="#,##0.0000_);[Red]\(#,##0.0000\)"/>
    <numFmt numFmtId="170" formatCode="#,##0.0000000000_);[Red]\(#,##0.000000000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b/>
      <sz val="6"/>
      <name val="Arial"/>
      <family val="2"/>
    </font>
    <font>
      <sz val="6"/>
      <color rgb="FF0070C0"/>
      <name val="Arial"/>
      <family val="2"/>
    </font>
    <font>
      <sz val="6"/>
      <color rgb="FFFF0000"/>
      <name val="Arial"/>
      <family val="2"/>
    </font>
    <font>
      <sz val="10"/>
      <name val="Arial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ck">
        <color indexed="8"/>
      </right>
      <top style="medium">
        <color auto="1"/>
      </top>
      <bottom style="thick">
        <color indexed="8"/>
      </bottom>
      <diagonal/>
    </border>
  </borders>
  <cellStyleXfs count="2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6" fillId="0" borderId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337">
    <xf numFmtId="0" fontId="0" fillId="0" borderId="0" xfId="0"/>
    <xf numFmtId="166" fontId="0" fillId="0" borderId="0" xfId="0" applyNumberFormat="1"/>
    <xf numFmtId="166" fontId="0" fillId="0" borderId="7" xfId="0" applyNumberFormat="1" applyBorder="1"/>
    <xf numFmtId="0" fontId="0" fillId="0" borderId="8" xfId="0" applyBorder="1"/>
    <xf numFmtId="166" fontId="0" fillId="0" borderId="10" xfId="0" applyNumberFormat="1" applyBorder="1"/>
    <xf numFmtId="0" fontId="0" fillId="0" borderId="9" xfId="0" applyBorder="1"/>
    <xf numFmtId="0" fontId="0" fillId="0" borderId="0" xfId="0" applyBorder="1"/>
    <xf numFmtId="0" fontId="2" fillId="0" borderId="0" xfId="0" applyFont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0" borderId="5" xfId="0" applyBorder="1"/>
    <xf numFmtId="0" fontId="0" fillId="0" borderId="11" xfId="0" applyBorder="1"/>
    <xf numFmtId="166" fontId="0" fillId="0" borderId="15" xfId="0" applyNumberFormat="1" applyBorder="1"/>
    <xf numFmtId="166" fontId="0" fillId="0" borderId="21" xfId="0" applyNumberForma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2" xfId="0" applyFont="1" applyBorder="1" applyAlignment="1">
      <alignment horizontal="center" shrinkToFit="1"/>
    </xf>
    <xf numFmtId="4" fontId="10" fillId="0" borderId="22" xfId="0" applyNumberFormat="1" applyFont="1" applyBorder="1" applyAlignment="1">
      <alignment horizontal="right" textRotation="90"/>
    </xf>
    <xf numFmtId="0" fontId="7" fillId="4" borderId="23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center" shrinkToFit="1"/>
    </xf>
    <xf numFmtId="4" fontId="8" fillId="0" borderId="23" xfId="0" applyNumberFormat="1" applyFont="1" applyBorder="1"/>
    <xf numFmtId="0" fontId="11" fillId="0" borderId="23" xfId="0" applyFont="1" applyBorder="1" applyAlignment="1">
      <alignment horizontal="left" shrinkToFit="1"/>
    </xf>
    <xf numFmtId="0" fontId="7" fillId="0" borderId="23" xfId="0" applyFont="1" applyBorder="1" applyAlignment="1">
      <alignment horizontal="center" shrinkToFit="1"/>
    </xf>
    <xf numFmtId="4" fontId="8" fillId="0" borderId="23" xfId="0" applyNumberFormat="1" applyFont="1" applyBorder="1" applyAlignment="1">
      <alignment wrapText="1"/>
    </xf>
    <xf numFmtId="167" fontId="8" fillId="0" borderId="23" xfId="0" applyNumberFormat="1" applyFont="1" applyBorder="1"/>
    <xf numFmtId="0" fontId="11" fillId="0" borderId="23" xfId="0" applyFont="1" applyFill="1" applyBorder="1" applyAlignment="1">
      <alignment horizontal="left" shrinkToFit="1"/>
    </xf>
    <xf numFmtId="4" fontId="8" fillId="0" borderId="23" xfId="0" applyNumberFormat="1" applyFont="1" applyFill="1" applyBorder="1"/>
    <xf numFmtId="0" fontId="7" fillId="0" borderId="23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25" xfId="0" applyFont="1" applyBorder="1" applyAlignment="1">
      <alignment horizontal="center" shrinkToFit="1"/>
    </xf>
    <xf numFmtId="0" fontId="0" fillId="3" borderId="0" xfId="0" applyFill="1"/>
    <xf numFmtId="166" fontId="0" fillId="3" borderId="16" xfId="0" applyNumberFormat="1" applyFill="1" applyBorder="1"/>
    <xf numFmtId="0" fontId="0" fillId="3" borderId="1" xfId="0" applyFill="1" applyBorder="1"/>
    <xf numFmtId="4" fontId="8" fillId="3" borderId="2" xfId="0" applyNumberFormat="1" applyFont="1" applyFill="1" applyBorder="1"/>
    <xf numFmtId="0" fontId="0" fillId="3" borderId="20" xfId="0" applyFill="1" applyBorder="1"/>
    <xf numFmtId="4" fontId="10" fillId="3" borderId="27" xfId="0" applyNumberFormat="1" applyFont="1" applyFill="1" applyBorder="1" applyAlignment="1">
      <alignment horizontal="right" textRotation="90"/>
    </xf>
    <xf numFmtId="4" fontId="8" fillId="3" borderId="25" xfId="0" applyNumberFormat="1" applyFont="1" applyFill="1" applyBorder="1"/>
    <xf numFmtId="4" fontId="10" fillId="0" borderId="26" xfId="0" applyNumberFormat="1" applyFont="1" applyBorder="1" applyAlignment="1">
      <alignment horizontal="right" textRotation="90"/>
    </xf>
    <xf numFmtId="4" fontId="10" fillId="0" borderId="0" xfId="0" applyNumberFormat="1" applyFont="1" applyBorder="1" applyAlignment="1">
      <alignment horizontal="right" textRotation="90"/>
    </xf>
    <xf numFmtId="4" fontId="8" fillId="0" borderId="26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wrapText="1"/>
    </xf>
    <xf numFmtId="167" fontId="8" fillId="0" borderId="0" xfId="0" applyNumberFormat="1" applyFont="1" applyBorder="1"/>
    <xf numFmtId="9" fontId="8" fillId="0" borderId="0" xfId="18" applyFont="1" applyBorder="1"/>
    <xf numFmtId="4" fontId="8" fillId="0" borderId="26" xfId="0" applyNumberFormat="1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wrapText="1"/>
    </xf>
    <xf numFmtId="167" fontId="8" fillId="0" borderId="0" xfId="0" applyNumberFormat="1" applyFont="1" applyFill="1" applyBorder="1"/>
    <xf numFmtId="9" fontId="8" fillId="0" borderId="0" xfId="18" applyFont="1" applyFill="1" applyBorder="1"/>
    <xf numFmtId="0" fontId="0" fillId="0" borderId="26" xfId="0" applyBorder="1"/>
    <xf numFmtId="0" fontId="0" fillId="0" borderId="0" xfId="0" applyFill="1"/>
    <xf numFmtId="17" fontId="0" fillId="0" borderId="0" xfId="0" applyNumberFormat="1" applyFill="1"/>
    <xf numFmtId="166" fontId="0" fillId="0" borderId="29" xfId="0" applyNumberFormat="1" applyBorder="1"/>
    <xf numFmtId="0" fontId="2" fillId="0" borderId="29" xfId="0" applyFont="1" applyBorder="1"/>
    <xf numFmtId="166" fontId="0" fillId="0" borderId="30" xfId="0" applyNumberFormat="1" applyBorder="1"/>
    <xf numFmtId="0" fontId="0" fillId="0" borderId="23" xfId="0" applyBorder="1"/>
    <xf numFmtId="0" fontId="2" fillId="0" borderId="23" xfId="0" applyFont="1" applyBorder="1"/>
    <xf numFmtId="0" fontId="0" fillId="0" borderId="32" xfId="0" applyBorder="1"/>
    <xf numFmtId="166" fontId="0" fillId="0" borderId="23" xfId="0" applyNumberFormat="1" applyBorder="1"/>
    <xf numFmtId="166" fontId="0" fillId="0" borderId="32" xfId="0" applyNumberFormat="1" applyBorder="1"/>
    <xf numFmtId="0" fontId="0" fillId="0" borderId="31" xfId="0" applyBorder="1"/>
    <xf numFmtId="0" fontId="2" fillId="0" borderId="36" xfId="0" applyFont="1" applyBorder="1"/>
    <xf numFmtId="0" fontId="0" fillId="0" borderId="37" xfId="0" applyBorder="1"/>
    <xf numFmtId="0" fontId="0" fillId="0" borderId="38" xfId="0" applyBorder="1"/>
    <xf numFmtId="0" fontId="2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39" xfId="0" applyBorder="1"/>
    <xf numFmtId="17" fontId="0" fillId="0" borderId="28" xfId="0" applyNumberFormat="1" applyBorder="1"/>
    <xf numFmtId="17" fontId="0" fillId="0" borderId="29" xfId="0" applyNumberFormat="1" applyBorder="1"/>
    <xf numFmtId="17" fontId="0" fillId="0" borderId="30" xfId="0" applyNumberFormat="1" applyBorder="1"/>
    <xf numFmtId="166" fontId="0" fillId="0" borderId="31" xfId="0" applyNumberFormat="1" applyBorder="1"/>
    <xf numFmtId="166" fontId="0" fillId="0" borderId="33" xfId="0" applyNumberFormat="1" applyBorder="1"/>
    <xf numFmtId="166" fontId="0" fillId="0" borderId="34" xfId="0" applyNumberFormat="1" applyBorder="1"/>
    <xf numFmtId="166" fontId="0" fillId="0" borderId="35" xfId="0" applyNumberFormat="1" applyBorder="1"/>
    <xf numFmtId="0" fontId="2" fillId="2" borderId="39" xfId="0" applyFont="1" applyFill="1" applyBorder="1"/>
    <xf numFmtId="0" fontId="0" fillId="2" borderId="40" xfId="0" applyFill="1" applyBorder="1"/>
    <xf numFmtId="0" fontId="0" fillId="2" borderId="41" xfId="0" applyFill="1" applyBorder="1"/>
    <xf numFmtId="166" fontId="0" fillId="2" borderId="23" xfId="0" applyNumberFormat="1" applyFill="1" applyBorder="1"/>
    <xf numFmtId="0" fontId="2" fillId="2" borderId="23" xfId="0" applyFont="1" applyFill="1" applyBorder="1"/>
    <xf numFmtId="166" fontId="0" fillId="2" borderId="32" xfId="0" applyNumberFormat="1" applyFill="1" applyBorder="1"/>
    <xf numFmtId="0" fontId="2" fillId="6" borderId="33" xfId="0" applyFont="1" applyFill="1" applyBorder="1"/>
    <xf numFmtId="0" fontId="0" fillId="6" borderId="34" xfId="0" applyFill="1" applyBorder="1"/>
    <xf numFmtId="168" fontId="0" fillId="6" borderId="34" xfId="0" applyNumberFormat="1" applyFill="1" applyBorder="1"/>
    <xf numFmtId="168" fontId="0" fillId="6" borderId="35" xfId="0" applyNumberFormat="1" applyFill="1" applyBorder="1"/>
    <xf numFmtId="0" fontId="2" fillId="6" borderId="16" xfId="0" applyFont="1" applyFill="1" applyBorder="1"/>
    <xf numFmtId="0" fontId="0" fillId="6" borderId="42" xfId="0" applyFill="1" applyBorder="1"/>
    <xf numFmtId="0" fontId="0" fillId="6" borderId="43" xfId="0" applyFill="1" applyBorder="1"/>
    <xf numFmtId="166" fontId="0" fillId="6" borderId="43" xfId="0" applyNumberFormat="1" applyFill="1" applyBorder="1"/>
    <xf numFmtId="166" fontId="0" fillId="6" borderId="44" xfId="0" applyNumberFormat="1" applyFill="1" applyBorder="1"/>
    <xf numFmtId="0" fontId="2" fillId="5" borderId="45" xfId="0" applyFont="1" applyFill="1" applyBorder="1"/>
    <xf numFmtId="0" fontId="0" fillId="5" borderId="46" xfId="0" applyFill="1" applyBorder="1"/>
    <xf numFmtId="0" fontId="0" fillId="5" borderId="47" xfId="0" applyFill="1" applyBorder="1"/>
    <xf numFmtId="166" fontId="0" fillId="5" borderId="34" xfId="0" applyNumberFormat="1" applyFill="1" applyBorder="1"/>
    <xf numFmtId="166" fontId="0" fillId="5" borderId="35" xfId="0" applyNumberFormat="1" applyFill="1" applyBorder="1"/>
    <xf numFmtId="0" fontId="2" fillId="0" borderId="16" xfId="0" applyFont="1" applyFill="1" applyBorder="1"/>
    <xf numFmtId="0" fontId="0" fillId="0" borderId="19" xfId="0" applyBorder="1"/>
    <xf numFmtId="0" fontId="13" fillId="0" borderId="0" xfId="0" applyFont="1"/>
    <xf numFmtId="0" fontId="0" fillId="0" borderId="49" xfId="0" applyFill="1" applyBorder="1"/>
    <xf numFmtId="40" fontId="0" fillId="0" borderId="50" xfId="0" applyNumberFormat="1" applyFill="1" applyBorder="1"/>
    <xf numFmtId="40" fontId="0" fillId="7" borderId="51" xfId="0" applyNumberFormat="1" applyFill="1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169" fontId="0" fillId="0" borderId="55" xfId="0" applyNumberFormat="1" applyBorder="1"/>
    <xf numFmtId="40" fontId="0" fillId="7" borderId="56" xfId="0" applyNumberFormat="1" applyFill="1" applyBorder="1"/>
    <xf numFmtId="17" fontId="0" fillId="0" borderId="57" xfId="0" applyNumberFormat="1" applyBorder="1"/>
    <xf numFmtId="0" fontId="0" fillId="8" borderId="58" xfId="0" applyFill="1" applyBorder="1"/>
    <xf numFmtId="40" fontId="0" fillId="0" borderId="0" xfId="0" applyNumberFormat="1" applyFill="1" applyBorder="1" applyProtection="1">
      <protection locked="0"/>
    </xf>
    <xf numFmtId="0" fontId="0" fillId="8" borderId="59" xfId="0" applyFill="1" applyBorder="1"/>
    <xf numFmtId="170" fontId="0" fillId="8" borderId="60" xfId="0" applyNumberFormat="1" applyFill="1" applyBorder="1"/>
    <xf numFmtId="170" fontId="0" fillId="9" borderId="60" xfId="0" applyNumberFormat="1" applyFill="1" applyBorder="1"/>
    <xf numFmtId="169" fontId="0" fillId="8" borderId="60" xfId="0" applyNumberFormat="1" applyFill="1" applyBorder="1"/>
    <xf numFmtId="40" fontId="0" fillId="8" borderId="60" xfId="0" applyNumberFormat="1" applyFill="1" applyBorder="1"/>
    <xf numFmtId="40" fontId="0" fillId="8" borderId="61" xfId="0" applyNumberFormat="1" applyFill="1" applyBorder="1"/>
    <xf numFmtId="0" fontId="0" fillId="8" borderId="15" xfId="0" applyFill="1" applyBorder="1"/>
    <xf numFmtId="0" fontId="0" fillId="8" borderId="62" xfId="0" applyFill="1" applyBorder="1"/>
    <xf numFmtId="170" fontId="0" fillId="8" borderId="7" xfId="0" applyNumberFormat="1" applyFill="1" applyBorder="1"/>
    <xf numFmtId="169" fontId="0" fillId="8" borderId="7" xfId="0" applyNumberFormat="1" applyFill="1" applyBorder="1"/>
    <xf numFmtId="40" fontId="0" fillId="8" borderId="63" xfId="0" applyNumberFormat="1" applyFill="1" applyBorder="1"/>
    <xf numFmtId="169" fontId="0" fillId="10" borderId="7" xfId="0" applyNumberFormat="1" applyFill="1" applyBorder="1"/>
    <xf numFmtId="0" fontId="0" fillId="10" borderId="15" xfId="0" applyFill="1" applyBorder="1"/>
    <xf numFmtId="40" fontId="2" fillId="0" borderId="0" xfId="0" applyNumberFormat="1" applyFont="1" applyFill="1" applyBorder="1" applyProtection="1">
      <protection locked="0"/>
    </xf>
    <xf numFmtId="0" fontId="0" fillId="10" borderId="62" xfId="0" applyFill="1" applyBorder="1"/>
    <xf numFmtId="170" fontId="0" fillId="10" borderId="7" xfId="0" applyNumberFormat="1" applyFill="1" applyBorder="1"/>
    <xf numFmtId="0" fontId="2" fillId="0" borderId="3" xfId="0" applyFont="1" applyBorder="1"/>
    <xf numFmtId="166" fontId="0" fillId="0" borderId="4" xfId="0" applyNumberFormat="1" applyBorder="1"/>
    <xf numFmtId="0" fontId="2" fillId="0" borderId="6" xfId="0" applyFont="1" applyBorder="1"/>
    <xf numFmtId="0" fontId="2" fillId="0" borderId="9" xfId="0" applyFont="1" applyBorder="1"/>
    <xf numFmtId="166" fontId="0" fillId="0" borderId="64" xfId="0" applyNumberFormat="1" applyBorder="1"/>
    <xf numFmtId="166" fontId="0" fillId="0" borderId="12" xfId="0" applyNumberFormat="1" applyFill="1" applyBorder="1"/>
    <xf numFmtId="0" fontId="0" fillId="0" borderId="13" xfId="0" applyBorder="1"/>
    <xf numFmtId="166" fontId="0" fillId="0" borderId="14" xfId="0" applyNumberFormat="1" applyBorder="1"/>
    <xf numFmtId="40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40" fontId="4" fillId="0" borderId="0" xfId="0" applyNumberFormat="1" applyFont="1" applyFill="1" applyBorder="1"/>
    <xf numFmtId="0" fontId="2" fillId="0" borderId="0" xfId="0" applyFont="1" applyFill="1" applyBorder="1"/>
    <xf numFmtId="166" fontId="0" fillId="0" borderId="0" xfId="0" applyNumberFormat="1" applyFill="1" applyBorder="1"/>
    <xf numFmtId="0" fontId="0" fillId="0" borderId="0" xfId="0" applyFill="1" applyBorder="1"/>
    <xf numFmtId="169" fontId="4" fillId="0" borderId="0" xfId="0" applyNumberFormat="1" applyFont="1" applyFill="1" applyBorder="1"/>
    <xf numFmtId="17" fontId="0" fillId="0" borderId="0" xfId="0" applyNumberFormat="1" applyFill="1" applyBorder="1"/>
    <xf numFmtId="170" fontId="4" fillId="0" borderId="0" xfId="0" applyNumberFormat="1" applyFont="1" applyFill="1" applyBorder="1"/>
    <xf numFmtId="0" fontId="14" fillId="0" borderId="0" xfId="0" applyFont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166" fontId="0" fillId="0" borderId="69" xfId="0" applyNumberFormat="1" applyBorder="1"/>
    <xf numFmtId="0" fontId="0" fillId="0" borderId="70" xfId="0" applyBorder="1"/>
    <xf numFmtId="166" fontId="0" fillId="0" borderId="71" xfId="0" applyNumberFormat="1" applyBorder="1"/>
    <xf numFmtId="166" fontId="0" fillId="0" borderId="72" xfId="0" applyNumberFormat="1" applyBorder="1"/>
    <xf numFmtId="166" fontId="2" fillId="0" borderId="0" xfId="0" applyNumberFormat="1" applyFont="1" applyFill="1" applyBorder="1"/>
    <xf numFmtId="0" fontId="0" fillId="0" borderId="4" xfId="0" applyBorder="1"/>
    <xf numFmtId="17" fontId="0" fillId="0" borderId="6" xfId="0" applyNumberFormat="1" applyBorder="1"/>
    <xf numFmtId="0" fontId="0" fillId="0" borderId="7" xfId="0" applyBorder="1"/>
    <xf numFmtId="17" fontId="0" fillId="0" borderId="8" xfId="0" applyNumberForma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166" fontId="0" fillId="0" borderId="6" xfId="0" applyNumberFormat="1" applyFill="1" applyBorder="1"/>
    <xf numFmtId="166" fontId="0" fillId="0" borderId="7" xfId="0" applyNumberFormat="1" applyFill="1" applyBorder="1"/>
    <xf numFmtId="166" fontId="0" fillId="0" borderId="8" xfId="0" applyNumberFormat="1" applyFill="1" applyBorder="1"/>
    <xf numFmtId="166" fontId="0" fillId="0" borderId="9" xfId="0" applyNumberFormat="1" applyFill="1" applyBorder="1"/>
    <xf numFmtId="166" fontId="0" fillId="0" borderId="10" xfId="0" applyNumberFormat="1" applyFill="1" applyBorder="1"/>
    <xf numFmtId="166" fontId="0" fillId="0" borderId="11" xfId="0" applyNumberFormat="1" applyFill="1" applyBorder="1"/>
    <xf numFmtId="166" fontId="2" fillId="0" borderId="0" xfId="0" applyNumberFormat="1" applyFont="1"/>
    <xf numFmtId="166" fontId="2" fillId="0" borderId="0" xfId="0" applyNumberFormat="1" applyFont="1" applyFill="1" applyBorder="1" applyProtection="1">
      <protection locked="0"/>
    </xf>
    <xf numFmtId="0" fontId="2" fillId="2" borderId="0" xfId="0" applyFont="1" applyFill="1"/>
    <xf numFmtId="0" fontId="0" fillId="2" borderId="0" xfId="0" applyFill="1"/>
    <xf numFmtId="166" fontId="0" fillId="2" borderId="0" xfId="0" applyNumberFormat="1" applyFill="1"/>
    <xf numFmtId="0" fontId="0" fillId="2" borderId="0" xfId="0" applyFill="1" applyBorder="1"/>
    <xf numFmtId="0" fontId="4" fillId="2" borderId="0" xfId="0" applyFont="1" applyFill="1" applyBorder="1"/>
    <xf numFmtId="166" fontId="0" fillId="0" borderId="3" xfId="0" applyNumberFormat="1" applyFill="1" applyBorder="1"/>
    <xf numFmtId="166" fontId="0" fillId="0" borderId="4" xfId="0" applyNumberFormat="1" applyFill="1" applyBorder="1"/>
    <xf numFmtId="166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66" fontId="2" fillId="0" borderId="6" xfId="0" applyNumberFormat="1" applyFont="1" applyFill="1" applyBorder="1"/>
    <xf numFmtId="166" fontId="2" fillId="0" borderId="7" xfId="0" applyNumberFormat="1" applyFont="1" applyFill="1" applyBorder="1"/>
    <xf numFmtId="166" fontId="2" fillId="0" borderId="8" xfId="0" applyNumberFormat="1" applyFont="1" applyFill="1" applyBorder="1"/>
    <xf numFmtId="166" fontId="13" fillId="0" borderId="6" xfId="0" applyNumberFormat="1" applyFont="1" applyFill="1" applyBorder="1"/>
    <xf numFmtId="166" fontId="2" fillId="2" borderId="9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0" borderId="8" xfId="0" applyNumberFormat="1" applyFont="1" applyBorder="1"/>
    <xf numFmtId="166" fontId="0" fillId="0" borderId="5" xfId="0" applyNumberFormat="1" applyBorder="1"/>
    <xf numFmtId="166" fontId="0" fillId="0" borderId="8" xfId="0" applyNumberFormat="1" applyBorder="1"/>
    <xf numFmtId="166" fontId="0" fillId="0" borderId="3" xfId="0" applyNumberFormat="1" applyBorder="1"/>
    <xf numFmtId="166" fontId="0" fillId="0" borderId="6" xfId="0" applyNumberFormat="1" applyBorder="1"/>
    <xf numFmtId="166" fontId="2" fillId="0" borderId="6" xfId="0" applyNumberFormat="1" applyFont="1" applyBorder="1"/>
    <xf numFmtId="166" fontId="2" fillId="0" borderId="9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66" fontId="2" fillId="0" borderId="13" xfId="0" applyNumberFormat="1" applyFont="1" applyFill="1" applyBorder="1"/>
    <xf numFmtId="166" fontId="2" fillId="0" borderId="14" xfId="0" applyNumberFormat="1" applyFont="1" applyFill="1" applyBorder="1"/>
    <xf numFmtId="0" fontId="0" fillId="11" borderId="0" xfId="0" applyFill="1"/>
    <xf numFmtId="17" fontId="2" fillId="0" borderId="0" xfId="0" applyNumberFormat="1" applyFont="1"/>
    <xf numFmtId="17" fontId="2" fillId="11" borderId="0" xfId="0" applyNumberFormat="1" applyFont="1" applyFill="1"/>
    <xf numFmtId="0" fontId="15" fillId="0" borderId="0" xfId="0" applyFont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8" xfId="0" applyFont="1" applyBorder="1"/>
    <xf numFmtId="17" fontId="15" fillId="0" borderId="29" xfId="0" applyNumberFormat="1" applyFont="1" applyBorder="1"/>
    <xf numFmtId="0" fontId="15" fillId="0" borderId="29" xfId="0" applyFont="1" applyBorder="1"/>
    <xf numFmtId="0" fontId="15" fillId="0" borderId="30" xfId="0" applyFont="1" applyBorder="1"/>
    <xf numFmtId="166" fontId="15" fillId="0" borderId="31" xfId="0" applyNumberFormat="1" applyFont="1" applyBorder="1"/>
    <xf numFmtId="166" fontId="15" fillId="0" borderId="23" xfId="0" applyNumberFormat="1" applyFont="1" applyBorder="1"/>
    <xf numFmtId="0" fontId="15" fillId="0" borderId="23" xfId="0" applyFont="1" applyBorder="1"/>
    <xf numFmtId="166" fontId="15" fillId="0" borderId="32" xfId="0" applyNumberFormat="1" applyFont="1" applyBorder="1"/>
    <xf numFmtId="166" fontId="15" fillId="0" borderId="41" xfId="0" applyNumberFormat="1" applyFont="1" applyBorder="1"/>
    <xf numFmtId="0" fontId="15" fillId="0" borderId="31" xfId="0" applyFont="1" applyBorder="1"/>
    <xf numFmtId="0" fontId="15" fillId="0" borderId="32" xfId="0" applyFont="1" applyBorder="1"/>
    <xf numFmtId="0" fontId="15" fillId="0" borderId="33" xfId="0" applyFont="1" applyBorder="1"/>
    <xf numFmtId="166" fontId="15" fillId="0" borderId="34" xfId="0" applyNumberFormat="1" applyFont="1" applyBorder="1"/>
    <xf numFmtId="166" fontId="15" fillId="0" borderId="35" xfId="0" applyNumberFormat="1" applyFont="1" applyBorder="1"/>
    <xf numFmtId="0" fontId="15" fillId="0" borderId="36" xfId="0" applyFont="1" applyBorder="1"/>
    <xf numFmtId="0" fontId="15" fillId="0" borderId="37" xfId="0" applyFont="1" applyBorder="1"/>
    <xf numFmtId="0" fontId="15" fillId="0" borderId="38" xfId="0" applyFont="1" applyBorder="1"/>
    <xf numFmtId="166" fontId="15" fillId="0" borderId="30" xfId="0" applyNumberFormat="1" applyFont="1" applyBorder="1"/>
    <xf numFmtId="0" fontId="15" fillId="0" borderId="45" xfId="0" applyFont="1" applyFill="1" applyBorder="1"/>
    <xf numFmtId="0" fontId="15" fillId="0" borderId="46" xfId="0" applyFont="1" applyFill="1" applyBorder="1"/>
    <xf numFmtId="0" fontId="15" fillId="0" borderId="47" xfId="0" applyFont="1" applyFill="1" applyBorder="1"/>
    <xf numFmtId="166" fontId="15" fillId="0" borderId="35" xfId="0" applyNumberFormat="1" applyFont="1" applyFill="1" applyBorder="1"/>
    <xf numFmtId="166" fontId="15" fillId="0" borderId="45" xfId="0" applyNumberFormat="1" applyFont="1" applyBorder="1"/>
    <xf numFmtId="166" fontId="15" fillId="0" borderId="46" xfId="0" applyNumberFormat="1" applyFont="1" applyBorder="1"/>
    <xf numFmtId="168" fontId="15" fillId="0" borderId="35" xfId="0" applyNumberFormat="1" applyFont="1" applyBorder="1"/>
    <xf numFmtId="0" fontId="17" fillId="12" borderId="23" xfId="0" applyFont="1" applyFill="1" applyBorder="1" applyAlignment="1">
      <alignment vertical="center" wrapText="1"/>
    </xf>
    <xf numFmtId="17" fontId="17" fillId="12" borderId="2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43" fontId="0" fillId="0" borderId="23" xfId="19" applyFont="1" applyBorder="1" applyAlignment="1">
      <alignment vertical="center"/>
    </xf>
    <xf numFmtId="0" fontId="18" fillId="0" borderId="0" xfId="0" applyFont="1"/>
    <xf numFmtId="0" fontId="17" fillId="12" borderId="23" xfId="0" applyFont="1" applyFill="1" applyBorder="1" applyAlignment="1">
      <alignment vertical="center"/>
    </xf>
    <xf numFmtId="17" fontId="17" fillId="12" borderId="23" xfId="0" applyNumberFormat="1" applyFont="1" applyFill="1" applyBorder="1" applyAlignment="1">
      <alignment horizontal="center" vertical="center"/>
    </xf>
    <xf numFmtId="166" fontId="0" fillId="0" borderId="23" xfId="2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43" fontId="0" fillId="0" borderId="7" xfId="19" applyFont="1" applyBorder="1" applyAlignment="1">
      <alignment vertical="center"/>
    </xf>
    <xf numFmtId="166" fontId="0" fillId="0" borderId="9" xfId="0" applyNumberFormat="1" applyBorder="1"/>
    <xf numFmtId="166" fontId="0" fillId="0" borderId="11" xfId="0" applyNumberFormat="1" applyBorder="1"/>
    <xf numFmtId="43" fontId="0" fillId="2" borderId="10" xfId="19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73" xfId="0" applyFont="1" applyFill="1" applyBorder="1" applyAlignment="1">
      <alignment vertical="center"/>
    </xf>
    <xf numFmtId="43" fontId="0" fillId="0" borderId="41" xfId="19" applyFont="1" applyBorder="1" applyAlignment="1">
      <alignment vertical="center"/>
    </xf>
    <xf numFmtId="43" fontId="0" fillId="0" borderId="74" xfId="19" applyFont="1" applyBorder="1" applyAlignment="1">
      <alignment vertical="center"/>
    </xf>
    <xf numFmtId="43" fontId="0" fillId="2" borderId="65" xfId="19" applyFont="1" applyFill="1" applyBorder="1" applyAlignment="1">
      <alignment vertical="center"/>
    </xf>
    <xf numFmtId="43" fontId="0" fillId="2" borderId="66" xfId="19" applyFont="1" applyFill="1" applyBorder="1" applyAlignment="1">
      <alignment vertical="center"/>
    </xf>
    <xf numFmtId="0" fontId="0" fillId="2" borderId="75" xfId="0" applyFill="1" applyBorder="1"/>
    <xf numFmtId="0" fontId="0" fillId="2" borderId="76" xfId="0" applyFill="1" applyBorder="1"/>
    <xf numFmtId="0" fontId="0" fillId="2" borderId="77" xfId="0" applyFill="1" applyBorder="1"/>
    <xf numFmtId="166" fontId="0" fillId="0" borderId="41" xfId="20" applyNumberFormat="1" applyFont="1" applyBorder="1" applyAlignment="1">
      <alignment vertical="center"/>
    </xf>
    <xf numFmtId="166" fontId="0" fillId="0" borderId="74" xfId="20" applyNumberFormat="1" applyFont="1" applyBorder="1" applyAlignment="1">
      <alignment vertical="center"/>
    </xf>
    <xf numFmtId="166" fontId="0" fillId="2" borderId="65" xfId="20" applyNumberFormat="1" applyFont="1" applyFill="1" applyBorder="1" applyAlignment="1">
      <alignment vertical="center"/>
    </xf>
    <xf numFmtId="166" fontId="0" fillId="2" borderId="66" xfId="20" applyNumberFormat="1" applyFont="1" applyFill="1" applyBorder="1" applyAlignment="1">
      <alignment vertical="center"/>
    </xf>
    <xf numFmtId="166" fontId="0" fillId="2" borderId="67" xfId="20" applyNumberFormat="1" applyFont="1" applyFill="1" applyBorder="1" applyAlignment="1">
      <alignment vertical="center"/>
    </xf>
    <xf numFmtId="166" fontId="0" fillId="0" borderId="0" xfId="0" applyNumberFormat="1" applyFill="1"/>
    <xf numFmtId="0" fontId="0" fillId="2" borderId="78" xfId="0" applyFill="1" applyBorder="1"/>
    <xf numFmtId="0" fontId="0" fillId="2" borderId="79" xfId="0" applyFill="1" applyBorder="1"/>
    <xf numFmtId="0" fontId="2" fillId="13" borderId="3" xfId="0" applyFont="1" applyFill="1" applyBorder="1"/>
    <xf numFmtId="17" fontId="0" fillId="0" borderId="4" xfId="0" applyNumberFormat="1" applyBorder="1"/>
    <xf numFmtId="17" fontId="0" fillId="0" borderId="5" xfId="0" applyNumberFormat="1" applyBorder="1"/>
    <xf numFmtId="0" fontId="0" fillId="13" borderId="6" xfId="0" applyFill="1" applyBorder="1"/>
    <xf numFmtId="0" fontId="0" fillId="13" borderId="9" xfId="0" applyFill="1" applyBorder="1"/>
    <xf numFmtId="0" fontId="0" fillId="0" borderId="0" xfId="0" applyFont="1" applyFill="1" applyBorder="1" applyAlignment="1">
      <alignment vertical="center"/>
    </xf>
    <xf numFmtId="0" fontId="2" fillId="0" borderId="0" xfId="0" applyFont="1" applyFill="1"/>
    <xf numFmtId="43" fontId="0" fillId="2" borderId="0" xfId="19" applyFont="1" applyFill="1" applyBorder="1" applyAlignment="1">
      <alignment vertical="center"/>
    </xf>
    <xf numFmtId="166" fontId="0" fillId="0" borderId="0" xfId="0" applyNumberFormat="1" applyBorder="1"/>
    <xf numFmtId="0" fontId="2" fillId="0" borderId="80" xfId="0" applyFont="1" applyBorder="1"/>
    <xf numFmtId="0" fontId="0" fillId="0" borderId="81" xfId="0" applyBorder="1"/>
    <xf numFmtId="0" fontId="0" fillId="0" borderId="82" xfId="0" applyBorder="1"/>
    <xf numFmtId="0" fontId="0" fillId="0" borderId="79" xfId="0" applyBorder="1"/>
    <xf numFmtId="0" fontId="2" fillId="14" borderId="3" xfId="0" applyFont="1" applyFill="1" applyBorder="1"/>
    <xf numFmtId="0" fontId="0" fillId="14" borderId="6" xfId="0" applyFill="1" applyBorder="1"/>
    <xf numFmtId="0" fontId="0" fillId="14" borderId="9" xfId="0" applyFill="1" applyBorder="1"/>
    <xf numFmtId="0" fontId="2" fillId="14" borderId="78" xfId="0" applyFont="1" applyFill="1" applyBorder="1"/>
    <xf numFmtId="0" fontId="19" fillId="0" borderId="0" xfId="0" applyFont="1"/>
    <xf numFmtId="166" fontId="19" fillId="0" borderId="0" xfId="0" applyNumberFormat="1" applyFont="1"/>
    <xf numFmtId="166" fontId="2" fillId="0" borderId="0" xfId="0" applyNumberFormat="1" applyFont="1" applyFill="1"/>
    <xf numFmtId="0" fontId="0" fillId="15" borderId="0" xfId="0" applyFill="1"/>
    <xf numFmtId="43" fontId="0" fillId="16" borderId="23" xfId="19" applyFont="1" applyFill="1" applyBorder="1" applyAlignment="1">
      <alignment vertical="center"/>
    </xf>
    <xf numFmtId="43" fontId="0" fillId="0" borderId="0" xfId="0" applyNumberFormat="1"/>
    <xf numFmtId="0" fontId="2" fillId="16" borderId="0" xfId="0" applyFont="1" applyFill="1"/>
    <xf numFmtId="166" fontId="0" fillId="16" borderId="23" xfId="20" applyNumberFormat="1" applyFont="1" applyFill="1" applyBorder="1" applyAlignment="1">
      <alignment vertical="center"/>
    </xf>
    <xf numFmtId="166" fontId="0" fillId="16" borderId="7" xfId="0" applyNumberFormat="1" applyFill="1" applyBorder="1"/>
    <xf numFmtId="0" fontId="15" fillId="0" borderId="83" xfId="0" applyFont="1" applyBorder="1"/>
    <xf numFmtId="166" fontId="15" fillId="0" borderId="25" xfId="0" applyNumberFormat="1" applyFont="1" applyBorder="1"/>
    <xf numFmtId="166" fontId="20" fillId="0" borderId="31" xfId="0" applyNumberFormat="1" applyFont="1" applyBorder="1"/>
    <xf numFmtId="166" fontId="15" fillId="0" borderId="33" xfId="0" applyNumberFormat="1" applyFont="1" applyBorder="1"/>
    <xf numFmtId="166" fontId="15" fillId="0" borderId="0" xfId="0" applyNumberFormat="1" applyFont="1"/>
    <xf numFmtId="166" fontId="15" fillId="0" borderId="0" xfId="0" applyNumberFormat="1" applyFont="1" applyFill="1"/>
    <xf numFmtId="166" fontId="19" fillId="2" borderId="0" xfId="0" applyNumberFormat="1" applyFont="1" applyFill="1"/>
    <xf numFmtId="166" fontId="15" fillId="0" borderId="84" xfId="0" applyNumberFormat="1" applyFont="1" applyBorder="1" applyAlignment="1">
      <alignment horizontal="center"/>
    </xf>
    <xf numFmtId="166" fontId="21" fillId="0" borderId="84" xfId="0" applyNumberFormat="1" applyFont="1" applyBorder="1" applyAlignment="1">
      <alignment horizontal="center"/>
    </xf>
    <xf numFmtId="0" fontId="24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2" fontId="7" fillId="0" borderId="85" xfId="0" applyNumberFormat="1" applyFont="1" applyBorder="1" applyAlignment="1">
      <alignment horizontal="center" vertical="center" wrapText="1"/>
    </xf>
    <xf numFmtId="2" fontId="7" fillId="0" borderId="85" xfId="0" applyNumberFormat="1" applyFont="1" applyBorder="1" applyAlignment="1">
      <alignment horizontal="center" shrinkToFit="1"/>
    </xf>
    <xf numFmtId="2" fontId="10" fillId="0" borderId="86" xfId="0" applyNumberFormat="1" applyFont="1" applyBorder="1" applyAlignment="1">
      <alignment horizontal="right" textRotation="90"/>
    </xf>
    <xf numFmtId="2" fontId="10" fillId="0" borderId="87" xfId="0" applyNumberFormat="1" applyFont="1" applyBorder="1" applyAlignment="1">
      <alignment horizontal="right" textRotation="90"/>
    </xf>
    <xf numFmtId="2" fontId="10" fillId="0" borderId="88" xfId="0" applyNumberFormat="1" applyFont="1" applyBorder="1" applyAlignment="1">
      <alignment horizontal="right" textRotation="90"/>
    </xf>
    <xf numFmtId="2" fontId="10" fillId="0" borderId="89" xfId="0" applyNumberFormat="1" applyFont="1" applyBorder="1" applyAlignment="1">
      <alignment horizontal="right" textRotation="90"/>
    </xf>
    <xf numFmtId="2" fontId="26" fillId="0" borderId="86" xfId="20" applyNumberFormat="1" applyFont="1" applyBorder="1" applyAlignment="1">
      <alignment horizontal="right" textRotation="90"/>
    </xf>
    <xf numFmtId="4" fontId="8" fillId="0" borderId="25" xfId="0" applyNumberFormat="1" applyFont="1" applyBorder="1"/>
    <xf numFmtId="4" fontId="8" fillId="0" borderId="90" xfId="0" applyNumberFormat="1" applyFont="1" applyBorder="1"/>
    <xf numFmtId="4" fontId="8" fillId="3" borderId="41" xfId="0" applyNumberFormat="1" applyFont="1" applyFill="1" applyBorder="1"/>
    <xf numFmtId="2" fontId="11" fillId="0" borderId="85" xfId="0" applyNumberFormat="1" applyFont="1" applyBorder="1" applyAlignment="1">
      <alignment horizontal="left" shrinkToFit="1"/>
    </xf>
    <xf numFmtId="2" fontId="8" fillId="0" borderId="23" xfId="0" applyNumberFormat="1" applyFont="1" applyBorder="1"/>
    <xf numFmtId="2" fontId="8" fillId="0" borderId="25" xfId="0" applyNumberFormat="1" applyFont="1" applyBorder="1"/>
    <xf numFmtId="2" fontId="8" fillId="0" borderId="90" xfId="0" applyNumberFormat="1" applyFont="1" applyBorder="1"/>
    <xf numFmtId="2" fontId="8" fillId="0" borderId="41" xfId="0" applyNumberFormat="1" applyFont="1" applyBorder="1"/>
    <xf numFmtId="2" fontId="8" fillId="0" borderId="23" xfId="21" applyNumberFormat="1" applyFont="1" applyBorder="1"/>
    <xf numFmtId="2" fontId="8" fillId="0" borderId="23" xfId="0" applyNumberFormat="1" applyFont="1" applyBorder="1" applyAlignment="1">
      <alignment wrapText="1"/>
    </xf>
    <xf numFmtId="9" fontId="8" fillId="0" borderId="23" xfId="20" applyFont="1" applyBorder="1"/>
    <xf numFmtId="0" fontId="0" fillId="0" borderId="91" xfId="0" applyBorder="1"/>
    <xf numFmtId="0" fontId="0" fillId="3" borderId="92" xfId="0" applyFill="1" applyBorder="1"/>
    <xf numFmtId="0" fontId="7" fillId="0" borderId="86" xfId="0" applyFont="1" applyBorder="1" applyAlignment="1">
      <alignment horizontal="left" wrapText="1"/>
    </xf>
    <xf numFmtId="0" fontId="7" fillId="0" borderId="86" xfId="0" applyFont="1" applyBorder="1" applyAlignment="1">
      <alignment horizontal="center" shrinkToFit="1"/>
    </xf>
    <xf numFmtId="0" fontId="0" fillId="3" borderId="91" xfId="0" applyFill="1" applyBorder="1"/>
    <xf numFmtId="4" fontId="8" fillId="3" borderId="93" xfId="0" applyNumberFormat="1" applyFont="1" applyFill="1" applyBorder="1"/>
    <xf numFmtId="166" fontId="0" fillId="3" borderId="94" xfId="0" applyNumberFormat="1" applyFill="1" applyBorder="1"/>
    <xf numFmtId="166" fontId="0" fillId="3" borderId="95" xfId="0" applyNumberFormat="1" applyFill="1" applyBorder="1"/>
    <xf numFmtId="2" fontId="0" fillId="0" borderId="0" xfId="0" applyNumberFormat="1"/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166" fontId="2" fillId="0" borderId="4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22">
    <cellStyle name="Moeda" xfId="21" builtinId="4"/>
    <cellStyle name="Moeda 2" xfId="3"/>
    <cellStyle name="Moeda 3" xfId="7"/>
    <cellStyle name="Moeda 4" xfId="10"/>
    <cellStyle name="Normal" xfId="0" builtinId="0"/>
    <cellStyle name="Normal 2" xfId="1"/>
    <cellStyle name="Normal 2 2" xfId="6"/>
    <cellStyle name="Normal 2 3" xfId="17"/>
    <cellStyle name="Normal 3" xfId="11"/>
    <cellStyle name="Normal 3 2" xfId="12"/>
    <cellStyle name="Normal 4" xfId="13"/>
    <cellStyle name="Normal 5" xfId="14"/>
    <cellStyle name="Porcentagem" xfId="20" builtinId="5"/>
    <cellStyle name="Porcentagem 2" xfId="4"/>
    <cellStyle name="Porcentagem 2 2" xfId="15"/>
    <cellStyle name="Porcentagem 3" xfId="18"/>
    <cellStyle name="Porcentagem 6" xfId="8"/>
    <cellStyle name="Separador de milhares 2" xfId="5"/>
    <cellStyle name="Separador de milhares 2 2" xfId="9"/>
    <cellStyle name="Vírgula" xfId="19" builtinId="3"/>
    <cellStyle name="Vírgula 2" xfId="2"/>
    <cellStyle name="Vírgula 2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aen.pr.gov.br/modules/galeria/uploads/28104/normal_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136306</xdr:colOff>
      <xdr:row>0</xdr:row>
      <xdr:rowOff>0</xdr:rowOff>
    </xdr:from>
    <xdr:to>
      <xdr:col>3</xdr:col>
      <xdr:colOff>142875</xdr:colOff>
      <xdr:row>2</xdr:row>
      <xdr:rowOff>133350</xdr:rowOff>
    </xdr:to>
    <xdr:pic>
      <xdr:nvPicPr>
        <xdr:cNvPr id="4" name="Imagem 2" descr="Brasão do Paraná já é a nova marca do Governo do Estado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631856" y="0"/>
          <a:ext cx="654269" cy="457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95251</xdr:rowOff>
    </xdr:from>
    <xdr:to>
      <xdr:col>0</xdr:col>
      <xdr:colOff>1266825</xdr:colOff>
      <xdr:row>3</xdr:row>
      <xdr:rowOff>10768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23633"/>
        <a:stretch>
          <a:fillRect/>
        </a:stretch>
      </xdr:blipFill>
      <xdr:spPr bwMode="auto">
        <a:xfrm>
          <a:off x="0" y="95251"/>
          <a:ext cx="1266825" cy="40129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695325</xdr:colOff>
      <xdr:row>19</xdr:row>
      <xdr:rowOff>123825</xdr:rowOff>
    </xdr:from>
    <xdr:to>
      <xdr:col>10</xdr:col>
      <xdr:colOff>762000</xdr:colOff>
      <xdr:row>21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9410700" y="118967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workbookViewId="0">
      <selection activeCell="P21" sqref="P21"/>
    </sheetView>
  </sheetViews>
  <sheetFormatPr defaultRowHeight="12.75" x14ac:dyDescent="0.2"/>
  <cols>
    <col min="1" max="1" width="37.42578125" bestFit="1" customWidth="1"/>
    <col min="2" max="2" width="6.5703125" bestFit="1" customWidth="1"/>
    <col min="3" max="3" width="3.140625" bestFit="1" customWidth="1"/>
    <col min="4" max="4" width="6.42578125" bestFit="1" customWidth="1"/>
    <col min="5" max="6" width="3.140625" bestFit="1" customWidth="1"/>
    <col min="7" max="7" width="9.28515625" bestFit="1" customWidth="1"/>
    <col min="8" max="11" width="6.42578125" bestFit="1" customWidth="1"/>
    <col min="12" max="12" width="3.140625" bestFit="1" customWidth="1"/>
    <col min="13" max="13" width="5.42578125" bestFit="1" customWidth="1"/>
    <col min="14" max="15" width="3.140625" bestFit="1" customWidth="1"/>
    <col min="16" max="16" width="5.42578125" bestFit="1" customWidth="1"/>
    <col min="17" max="17" width="3.140625" bestFit="1" customWidth="1"/>
    <col min="18" max="18" width="5.42578125" bestFit="1" customWidth="1"/>
    <col min="19" max="19" width="6.42578125" bestFit="1" customWidth="1"/>
    <col min="20" max="21" width="3.140625" bestFit="1" customWidth="1"/>
    <col min="22" max="24" width="6.42578125" bestFit="1" customWidth="1"/>
    <col min="25" max="25" width="5.42578125" bestFit="1" customWidth="1"/>
    <col min="29" max="29" width="13.42578125" bestFit="1" customWidth="1"/>
    <col min="31" max="31" width="9.7109375" bestFit="1" customWidth="1"/>
  </cols>
  <sheetData>
    <row r="1" spans="1:25" x14ac:dyDescent="0.2">
      <c r="A1" s="299"/>
      <c r="B1" s="299"/>
    </row>
    <row r="2" spans="1:25" x14ac:dyDescent="0.2">
      <c r="A2" s="300"/>
    </row>
    <row r="4" spans="1:25" x14ac:dyDescent="0.2">
      <c r="A4" s="330" t="s">
        <v>137</v>
      </c>
      <c r="B4" s="330"/>
      <c r="C4" s="330"/>
      <c r="D4" s="330"/>
    </row>
    <row r="5" spans="1:25" x14ac:dyDescent="0.2">
      <c r="A5" s="146" t="s">
        <v>70</v>
      </c>
    </row>
    <row r="6" spans="1:25" x14ac:dyDescent="0.2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</row>
    <row r="7" spans="1:25" x14ac:dyDescent="0.2">
      <c r="A7" s="329" t="s">
        <v>2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</row>
    <row r="8" spans="1:25" x14ac:dyDescent="0.2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x14ac:dyDescent="0.2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3.5" thickBot="1" x14ac:dyDescent="0.25">
      <c r="A10" s="328" t="s">
        <v>136</v>
      </c>
      <c r="B10" s="328"/>
      <c r="C10" s="328"/>
      <c r="D10" s="328"/>
      <c r="E10" s="328"/>
      <c r="F10" s="328"/>
      <c r="G10" s="329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</row>
    <row r="11" spans="1:25" ht="84.75" thickTop="1" x14ac:dyDescent="0.2">
      <c r="A11" s="301" t="s">
        <v>4</v>
      </c>
      <c r="B11" s="302" t="s">
        <v>5</v>
      </c>
      <c r="C11" s="303" t="s">
        <v>6</v>
      </c>
      <c r="D11" s="303" t="s">
        <v>7</v>
      </c>
      <c r="E11" s="303" t="s">
        <v>8</v>
      </c>
      <c r="F11" s="304" t="s">
        <v>10</v>
      </c>
      <c r="G11" s="305" t="s">
        <v>11</v>
      </c>
      <c r="H11" s="306" t="s">
        <v>12</v>
      </c>
      <c r="I11" s="303" t="s">
        <v>13</v>
      </c>
      <c r="J11" s="303" t="s">
        <v>14</v>
      </c>
      <c r="K11" s="303" t="s">
        <v>15</v>
      </c>
      <c r="L11" s="303" t="s">
        <v>16</v>
      </c>
      <c r="M11" s="303" t="s">
        <v>17</v>
      </c>
      <c r="N11" s="303" t="s">
        <v>18</v>
      </c>
      <c r="O11" s="303" t="s">
        <v>19</v>
      </c>
      <c r="P11" s="303" t="s">
        <v>20</v>
      </c>
      <c r="Q11" s="303" t="s">
        <v>21</v>
      </c>
      <c r="R11" s="303" t="s">
        <v>22</v>
      </c>
      <c r="S11" s="303" t="s">
        <v>23</v>
      </c>
      <c r="T11" s="303" t="s">
        <v>24</v>
      </c>
      <c r="U11" s="303" t="s">
        <v>25</v>
      </c>
      <c r="V11" s="303" t="s">
        <v>26</v>
      </c>
      <c r="W11" s="303" t="s">
        <v>27</v>
      </c>
      <c r="X11" s="303" t="s">
        <v>28</v>
      </c>
      <c r="Y11" s="307" t="s">
        <v>29</v>
      </c>
    </row>
    <row r="12" spans="1:25" x14ac:dyDescent="0.2">
      <c r="A12" s="22" t="s">
        <v>31</v>
      </c>
      <c r="B12" s="23"/>
      <c r="C12" s="24"/>
      <c r="D12" s="24"/>
      <c r="E12" s="24"/>
      <c r="F12" s="308"/>
      <c r="G12" s="309"/>
      <c r="H12" s="310"/>
      <c r="I12" s="24"/>
      <c r="J12" s="24"/>
      <c r="K12" s="24"/>
      <c r="L12" s="24"/>
      <c r="M12" s="24"/>
      <c r="N12" s="24"/>
      <c r="O12" s="24"/>
      <c r="P12" s="27"/>
      <c r="Q12" s="24"/>
      <c r="R12" s="24"/>
      <c r="S12" s="24"/>
      <c r="T12" s="24"/>
      <c r="U12" s="24"/>
      <c r="V12" s="24"/>
      <c r="W12" s="24"/>
      <c r="X12" s="28"/>
      <c r="Y12" s="28"/>
    </row>
    <row r="13" spans="1:25" x14ac:dyDescent="0.2">
      <c r="A13" s="311" t="s">
        <v>32</v>
      </c>
      <c r="B13" s="302" t="s">
        <v>30</v>
      </c>
      <c r="C13" s="312"/>
      <c r="D13" s="312">
        <v>66</v>
      </c>
      <c r="E13" s="312"/>
      <c r="F13" s="313"/>
      <c r="G13" s="314">
        <v>35</v>
      </c>
      <c r="H13" s="315">
        <v>40</v>
      </c>
      <c r="I13" s="312">
        <v>27</v>
      </c>
      <c r="J13" s="312">
        <v>38</v>
      </c>
      <c r="K13" s="312">
        <v>48</v>
      </c>
      <c r="L13" s="312"/>
      <c r="M13" s="316">
        <v>60</v>
      </c>
      <c r="N13" s="312"/>
      <c r="O13" s="317"/>
      <c r="P13" s="312"/>
      <c r="Q13" s="312"/>
      <c r="R13" s="312">
        <v>14.8</v>
      </c>
      <c r="S13" s="312">
        <v>35</v>
      </c>
      <c r="T13" s="312"/>
      <c r="U13" s="312"/>
      <c r="V13" s="312">
        <v>17.3</v>
      </c>
      <c r="W13" s="312">
        <v>38.375</v>
      </c>
      <c r="X13" s="312">
        <f t="shared" ref="X13:X16" si="0">AVERAGE(C13:V13)</f>
        <v>38.11</v>
      </c>
      <c r="Y13" s="318">
        <f t="shared" ref="Y13:Y16" si="1">X13/W13-1</f>
        <v>-6.9055374592833507E-3</v>
      </c>
    </row>
    <row r="14" spans="1:25" x14ac:dyDescent="0.2">
      <c r="A14" s="311" t="s">
        <v>33</v>
      </c>
      <c r="B14" s="302" t="s">
        <v>30</v>
      </c>
      <c r="C14" s="312"/>
      <c r="D14" s="312">
        <v>82</v>
      </c>
      <c r="E14" s="312"/>
      <c r="F14" s="313"/>
      <c r="G14" s="314">
        <v>60</v>
      </c>
      <c r="H14" s="315">
        <v>70</v>
      </c>
      <c r="I14" s="312">
        <v>62</v>
      </c>
      <c r="J14" s="312">
        <v>78</v>
      </c>
      <c r="K14" s="312">
        <v>68</v>
      </c>
      <c r="L14" s="312"/>
      <c r="M14" s="316">
        <v>80</v>
      </c>
      <c r="N14" s="312"/>
      <c r="O14" s="317"/>
      <c r="P14" s="312">
        <v>58</v>
      </c>
      <c r="Q14" s="312"/>
      <c r="R14" s="312">
        <v>43.5</v>
      </c>
      <c r="S14" s="312">
        <v>47</v>
      </c>
      <c r="T14" s="312"/>
      <c r="U14" s="312"/>
      <c r="V14" s="312">
        <v>47.28</v>
      </c>
      <c r="W14" s="312">
        <v>63.07</v>
      </c>
      <c r="X14" s="312">
        <f t="shared" si="0"/>
        <v>63.25272727272727</v>
      </c>
      <c r="Y14" s="318">
        <f t="shared" si="1"/>
        <v>2.8972137740173043E-3</v>
      </c>
    </row>
    <row r="15" spans="1:25" x14ac:dyDescent="0.2">
      <c r="A15" s="311" t="s">
        <v>34</v>
      </c>
      <c r="B15" s="302" t="s">
        <v>30</v>
      </c>
      <c r="C15" s="312"/>
      <c r="D15" s="312">
        <v>102</v>
      </c>
      <c r="E15" s="312"/>
      <c r="F15" s="313"/>
      <c r="G15" s="314">
        <v>80</v>
      </c>
      <c r="H15" s="315">
        <v>90</v>
      </c>
      <c r="I15" s="312">
        <v>94</v>
      </c>
      <c r="J15" s="312">
        <v>114.5</v>
      </c>
      <c r="K15" s="312">
        <v>98</v>
      </c>
      <c r="L15" s="312"/>
      <c r="M15" s="316"/>
      <c r="N15" s="312"/>
      <c r="O15" s="317"/>
      <c r="P15" s="312"/>
      <c r="Q15" s="312"/>
      <c r="R15" s="312">
        <v>66.75</v>
      </c>
      <c r="S15" s="312">
        <v>102</v>
      </c>
      <c r="T15" s="312"/>
      <c r="U15" s="312"/>
      <c r="V15" s="312">
        <v>79.66</v>
      </c>
      <c r="W15" s="312">
        <v>91.336888888888893</v>
      </c>
      <c r="X15" s="312">
        <f t="shared" si="0"/>
        <v>91.878888888888881</v>
      </c>
      <c r="Y15" s="318">
        <f t="shared" si="1"/>
        <v>5.9340755591021921E-3</v>
      </c>
    </row>
    <row r="16" spans="1:25" x14ac:dyDescent="0.2">
      <c r="A16" s="311" t="s">
        <v>35</v>
      </c>
      <c r="B16" s="302" t="s">
        <v>30</v>
      </c>
      <c r="C16" s="312"/>
      <c r="D16" s="312">
        <v>120</v>
      </c>
      <c r="E16" s="312"/>
      <c r="F16" s="313"/>
      <c r="G16" s="314">
        <v>103.333333333333</v>
      </c>
      <c r="H16" s="315">
        <v>110</v>
      </c>
      <c r="I16" s="312">
        <v>130</v>
      </c>
      <c r="J16" s="312">
        <v>150</v>
      </c>
      <c r="K16" s="312">
        <v>125</v>
      </c>
      <c r="L16" s="312"/>
      <c r="M16" s="316"/>
      <c r="N16" s="312"/>
      <c r="O16" s="317"/>
      <c r="P16" s="312"/>
      <c r="Q16" s="312"/>
      <c r="R16" s="312"/>
      <c r="S16" s="312">
        <v>142</v>
      </c>
      <c r="T16" s="312"/>
      <c r="U16" s="312"/>
      <c r="V16" s="312">
        <v>112.77</v>
      </c>
      <c r="W16" s="312">
        <v>114.47499999999999</v>
      </c>
      <c r="X16" s="312">
        <f t="shared" si="0"/>
        <v>124.13791666666663</v>
      </c>
      <c r="Y16" s="318">
        <f t="shared" si="1"/>
        <v>8.4410715585644391E-2</v>
      </c>
    </row>
    <row r="17" spans="1:34" ht="13.5" thickBot="1" x14ac:dyDescent="0.25">
      <c r="G17" s="319"/>
      <c r="H17" s="34"/>
      <c r="AC17" s="1"/>
      <c r="AD17" s="1"/>
      <c r="AE17" s="1"/>
      <c r="AF17" s="1"/>
      <c r="AG17" s="1"/>
      <c r="AH17" s="1"/>
    </row>
    <row r="18" spans="1:34" x14ac:dyDescent="0.2">
      <c r="G18" s="320" t="s">
        <v>37</v>
      </c>
      <c r="AC18" s="1"/>
      <c r="AD18" s="1"/>
      <c r="AE18" s="1"/>
      <c r="AF18" s="1"/>
      <c r="AG18" s="1"/>
      <c r="AH18" s="1"/>
    </row>
    <row r="19" spans="1:34" x14ac:dyDescent="0.2">
      <c r="A19" s="321" t="s">
        <v>4</v>
      </c>
      <c r="B19" s="322" t="s">
        <v>5</v>
      </c>
      <c r="G19" s="323" t="s">
        <v>38</v>
      </c>
      <c r="AC19" s="1"/>
      <c r="AD19" s="1"/>
      <c r="AE19" s="1"/>
      <c r="AF19" s="1"/>
      <c r="AG19" s="1"/>
      <c r="AH19" s="1"/>
    </row>
    <row r="20" spans="1:34" ht="13.5" thickBot="1" x14ac:dyDescent="0.25">
      <c r="A20" s="22" t="s">
        <v>31</v>
      </c>
      <c r="B20" s="23"/>
      <c r="G20" s="324">
        <v>1.4</v>
      </c>
      <c r="AC20" s="1"/>
      <c r="AD20" s="1"/>
      <c r="AE20" s="1"/>
      <c r="AF20" s="1"/>
      <c r="AG20" s="1"/>
      <c r="AH20" s="1"/>
    </row>
    <row r="21" spans="1:34" ht="13.5" thickBot="1" x14ac:dyDescent="0.25">
      <c r="A21" s="29" t="s">
        <v>32</v>
      </c>
      <c r="B21" s="32" t="s">
        <v>36</v>
      </c>
      <c r="C21" s="10"/>
      <c r="D21" s="10"/>
      <c r="E21" s="10"/>
      <c r="F21" s="8"/>
      <c r="G21" s="325">
        <f>ROUND(G13/$G$20,2)</f>
        <v>25</v>
      </c>
      <c r="AC21" s="1"/>
      <c r="AD21" s="1"/>
      <c r="AE21" s="1"/>
      <c r="AF21" s="1"/>
      <c r="AG21" s="1"/>
      <c r="AH21" s="1"/>
    </row>
    <row r="22" spans="1:34" ht="13.5" thickBot="1" x14ac:dyDescent="0.25">
      <c r="A22" s="25" t="s">
        <v>33</v>
      </c>
      <c r="B22" s="33" t="s">
        <v>36</v>
      </c>
      <c r="C22" s="10"/>
      <c r="D22" s="10"/>
      <c r="E22" s="10"/>
      <c r="F22" s="8"/>
      <c r="G22" s="325">
        <f t="shared" ref="G22:G24" si="2">ROUND(G14/$G$20,2)</f>
        <v>42.86</v>
      </c>
      <c r="AC22" s="1"/>
      <c r="AD22" s="1"/>
      <c r="AE22" s="1"/>
      <c r="AF22" s="1"/>
      <c r="AG22" s="1"/>
      <c r="AH22" s="1"/>
    </row>
    <row r="23" spans="1:34" ht="13.5" thickBot="1" x14ac:dyDescent="0.25">
      <c r="A23" s="25" t="s">
        <v>34</v>
      </c>
      <c r="B23" s="33" t="s">
        <v>36</v>
      </c>
      <c r="C23" s="10"/>
      <c r="D23" s="10"/>
      <c r="E23" s="10"/>
      <c r="F23" s="8"/>
      <c r="G23" s="325">
        <f t="shared" si="2"/>
        <v>57.14</v>
      </c>
      <c r="AC23" s="1"/>
      <c r="AD23" s="1"/>
      <c r="AE23" s="1"/>
      <c r="AF23" s="1"/>
      <c r="AG23" s="1"/>
      <c r="AH23" s="1"/>
    </row>
    <row r="24" spans="1:34" ht="13.5" thickBot="1" x14ac:dyDescent="0.25">
      <c r="A24" s="25" t="s">
        <v>35</v>
      </c>
      <c r="B24" s="33" t="s">
        <v>36</v>
      </c>
      <c r="C24" s="10"/>
      <c r="D24" s="10"/>
      <c r="E24" s="10"/>
      <c r="F24" s="8"/>
      <c r="G24" s="326">
        <f t="shared" si="2"/>
        <v>73.81</v>
      </c>
      <c r="AC24" s="1"/>
      <c r="AD24" s="1"/>
      <c r="AE24" s="1"/>
      <c r="AF24" s="1"/>
      <c r="AG24" s="1"/>
      <c r="AH24" s="1"/>
    </row>
    <row r="25" spans="1:34" x14ac:dyDescent="0.2">
      <c r="AC25" s="1"/>
      <c r="AD25" s="1"/>
      <c r="AE25" s="1"/>
      <c r="AF25" s="1"/>
      <c r="AG25" s="1"/>
      <c r="AH25" s="1"/>
    </row>
    <row r="26" spans="1:34" x14ac:dyDescent="0.2">
      <c r="H26" s="327"/>
      <c r="AC26" s="1"/>
      <c r="AD26" s="1"/>
      <c r="AE26" s="1"/>
      <c r="AF26" s="1"/>
      <c r="AG26" s="1"/>
      <c r="AH26" s="1"/>
    </row>
    <row r="27" spans="1:34" x14ac:dyDescent="0.2">
      <c r="H27" s="327"/>
      <c r="AC27" s="1"/>
      <c r="AD27" s="1"/>
      <c r="AE27" s="1"/>
      <c r="AF27" s="1"/>
      <c r="AG27" s="1"/>
      <c r="AH27" s="1"/>
    </row>
    <row r="28" spans="1:34" x14ac:dyDescent="0.2">
      <c r="H28" s="327"/>
      <c r="AC28" s="1"/>
      <c r="AD28" s="1"/>
      <c r="AE28" s="1"/>
      <c r="AF28" s="1"/>
      <c r="AG28" s="1"/>
      <c r="AH28" s="1"/>
    </row>
    <row r="29" spans="1:34" x14ac:dyDescent="0.2">
      <c r="H29" s="327"/>
      <c r="I29" s="7"/>
      <c r="AC29" s="1"/>
      <c r="AD29" s="1"/>
      <c r="AE29" s="1"/>
      <c r="AF29" s="1"/>
      <c r="AG29" s="1"/>
      <c r="AH29" s="1"/>
    </row>
    <row r="30" spans="1:34" x14ac:dyDescent="0.2">
      <c r="I30" s="7"/>
      <c r="AC30" s="1"/>
      <c r="AD30" s="1"/>
      <c r="AE30" s="1"/>
      <c r="AF30" s="1"/>
      <c r="AG30" s="1"/>
      <c r="AH30" s="1"/>
    </row>
    <row r="31" spans="1:34" x14ac:dyDescent="0.2">
      <c r="H31" s="1"/>
      <c r="I31" s="7"/>
    </row>
  </sheetData>
  <mergeCells count="4">
    <mergeCell ref="A10:Y10"/>
    <mergeCell ref="A4:D4"/>
    <mergeCell ref="A6:Y6"/>
    <mergeCell ref="A7:Y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71"/>
  <sheetViews>
    <sheetView topLeftCell="A31" zoomScaleNormal="100" workbookViewId="0">
      <selection activeCell="I77" sqref="I77"/>
    </sheetView>
  </sheetViews>
  <sheetFormatPr defaultRowHeight="12.75" x14ac:dyDescent="0.2"/>
  <cols>
    <col min="1" max="1" width="36.5703125" customWidth="1"/>
    <col min="2" max="2" width="10.7109375" bestFit="1" customWidth="1"/>
    <col min="3" max="3" width="6.140625" bestFit="1" customWidth="1"/>
    <col min="4" max="4" width="12.28515625" bestFit="1" customWidth="1"/>
    <col min="5" max="5" width="6.42578125" bestFit="1" customWidth="1"/>
    <col min="6" max="7" width="3.140625" bestFit="1" customWidth="1"/>
    <col min="8" max="8" width="10.7109375" customWidth="1"/>
    <col min="9" max="9" width="15.85546875" customWidth="1"/>
    <col min="10" max="10" width="9.42578125" customWidth="1"/>
    <col min="11" max="11" width="9.7109375" bestFit="1" customWidth="1"/>
    <col min="12" max="12" width="12.28515625" bestFit="1" customWidth="1"/>
    <col min="13" max="13" width="11.42578125" bestFit="1" customWidth="1"/>
    <col min="14" max="14" width="9.7109375" bestFit="1" customWidth="1"/>
    <col min="15" max="15" width="13.42578125" bestFit="1" customWidth="1"/>
    <col min="16" max="16" width="8" bestFit="1" customWidth="1"/>
    <col min="17" max="17" width="6.42578125" bestFit="1" customWidth="1"/>
    <col min="18" max="18" width="13.42578125" bestFit="1" customWidth="1"/>
    <col min="19" max="20" width="6.42578125" bestFit="1" customWidth="1"/>
    <col min="21" max="21" width="13" customWidth="1"/>
    <col min="22" max="22" width="3.140625" bestFit="1" customWidth="1"/>
    <col min="23" max="23" width="6.42578125" bestFit="1" customWidth="1"/>
    <col min="24" max="25" width="5.42578125" bestFit="1" customWidth="1"/>
    <col min="26" max="26" width="4.140625" bestFit="1" customWidth="1"/>
  </cols>
  <sheetData>
    <row r="6" spans="1:26" x14ac:dyDescent="0.2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 x14ac:dyDescent="0.2">
      <c r="A7" s="329" t="s">
        <v>2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</row>
    <row r="8" spans="1:26" x14ac:dyDescent="0.2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</row>
    <row r="9" spans="1:26" x14ac:dyDescent="0.2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6" x14ac:dyDescent="0.2">
      <c r="A10" s="328" t="s">
        <v>3</v>
      </c>
      <c r="B10" s="328"/>
      <c r="C10" s="328"/>
      <c r="D10" s="328"/>
      <c r="E10" s="328"/>
      <c r="F10" s="328"/>
      <c r="G10" s="328"/>
      <c r="H10" s="328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18"/>
    </row>
    <row r="11" spans="1:26" ht="84" x14ac:dyDescent="0.2">
      <c r="A11" s="19" t="s">
        <v>4</v>
      </c>
      <c r="B11" s="20" t="s">
        <v>5</v>
      </c>
      <c r="C11" s="21" t="s">
        <v>6</v>
      </c>
      <c r="D11" s="21" t="s">
        <v>7</v>
      </c>
      <c r="E11" s="21" t="s">
        <v>8</v>
      </c>
      <c r="F11" s="21" t="s">
        <v>9</v>
      </c>
      <c r="G11" s="21" t="s">
        <v>10</v>
      </c>
      <c r="H11" s="39" t="s">
        <v>11</v>
      </c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x14ac:dyDescent="0.2">
      <c r="A12" s="22" t="s">
        <v>31</v>
      </c>
      <c r="B12" s="23"/>
      <c r="C12" s="24"/>
      <c r="D12" s="24"/>
      <c r="E12" s="24"/>
      <c r="F12" s="24"/>
      <c r="G12" s="24"/>
      <c r="H12" s="40"/>
      <c r="I12" s="43"/>
      <c r="J12" s="44"/>
      <c r="K12" s="44"/>
      <c r="L12" s="44"/>
      <c r="M12" s="44"/>
      <c r="N12" s="44"/>
      <c r="O12" s="44"/>
      <c r="P12" s="45"/>
      <c r="Q12" s="44"/>
      <c r="R12" s="44"/>
      <c r="S12" s="44"/>
      <c r="T12" s="44"/>
      <c r="U12" s="44"/>
      <c r="V12" s="44"/>
      <c r="W12" s="44"/>
      <c r="X12" s="46"/>
      <c r="Y12" s="46"/>
      <c r="Z12" s="47"/>
    </row>
    <row r="13" spans="1:26" x14ac:dyDescent="0.2">
      <c r="A13" s="29" t="s">
        <v>32</v>
      </c>
      <c r="B13" s="31" t="s">
        <v>30</v>
      </c>
      <c r="C13" s="30"/>
      <c r="D13" s="30">
        <v>55</v>
      </c>
      <c r="E13" s="30"/>
      <c r="F13" s="30"/>
      <c r="G13" s="30"/>
      <c r="H13" s="40">
        <v>35</v>
      </c>
      <c r="I13" s="48"/>
      <c r="J13" s="49"/>
      <c r="K13" s="49"/>
      <c r="L13" s="49"/>
      <c r="M13" s="49"/>
      <c r="N13" s="49"/>
      <c r="O13" s="49"/>
      <c r="P13" s="50"/>
      <c r="Q13" s="49"/>
      <c r="R13" s="49"/>
      <c r="S13" s="49"/>
      <c r="T13" s="49"/>
      <c r="U13" s="49"/>
      <c r="V13" s="49"/>
      <c r="W13" s="49"/>
      <c r="X13" s="51"/>
      <c r="Y13" s="51"/>
      <c r="Z13" s="52"/>
    </row>
    <row r="14" spans="1:26" x14ac:dyDescent="0.2">
      <c r="A14" s="25" t="s">
        <v>33</v>
      </c>
      <c r="B14" s="26" t="s">
        <v>30</v>
      </c>
      <c r="C14" s="24"/>
      <c r="D14" s="24">
        <v>68.33</v>
      </c>
      <c r="E14" s="24"/>
      <c r="F14" s="24"/>
      <c r="G14" s="24"/>
      <c r="H14" s="40">
        <v>60</v>
      </c>
      <c r="I14" s="43"/>
      <c r="J14" s="44"/>
      <c r="K14" s="44"/>
      <c r="L14" s="44"/>
      <c r="M14" s="44"/>
      <c r="N14" s="44"/>
      <c r="O14" s="44"/>
      <c r="P14" s="45"/>
      <c r="Q14" s="44"/>
      <c r="R14" s="44"/>
      <c r="S14" s="44"/>
      <c r="T14" s="44"/>
      <c r="U14" s="44"/>
      <c r="V14" s="44"/>
      <c r="W14" s="44"/>
      <c r="X14" s="46"/>
      <c r="Y14" s="46"/>
      <c r="Z14" s="47"/>
    </row>
    <row r="15" spans="1:26" x14ac:dyDescent="0.2">
      <c r="A15" s="25" t="s">
        <v>34</v>
      </c>
      <c r="B15" s="26" t="s">
        <v>30</v>
      </c>
      <c r="C15" s="24"/>
      <c r="D15" s="24">
        <v>102</v>
      </c>
      <c r="E15" s="24">
        <v>105.41</v>
      </c>
      <c r="F15" s="24"/>
      <c r="G15" s="24"/>
      <c r="H15" s="40">
        <v>81.6666666666667</v>
      </c>
      <c r="I15" s="43"/>
      <c r="J15" s="44"/>
      <c r="K15" s="44"/>
      <c r="L15" s="44"/>
      <c r="M15" s="44"/>
      <c r="N15" s="44"/>
      <c r="O15" s="44"/>
      <c r="P15" s="45"/>
      <c r="Q15" s="44"/>
      <c r="R15" s="44"/>
      <c r="S15" s="44"/>
      <c r="T15" s="44"/>
      <c r="U15" s="44"/>
      <c r="V15" s="44"/>
      <c r="W15" s="44"/>
      <c r="X15" s="46"/>
      <c r="Y15" s="46"/>
      <c r="Z15" s="47"/>
    </row>
    <row r="16" spans="1:26" x14ac:dyDescent="0.2">
      <c r="A16" s="25" t="s">
        <v>35</v>
      </c>
      <c r="B16" s="26" t="s">
        <v>30</v>
      </c>
      <c r="C16" s="24"/>
      <c r="D16" s="24">
        <v>120</v>
      </c>
      <c r="E16" s="24"/>
      <c r="F16" s="24"/>
      <c r="G16" s="24"/>
      <c r="H16" s="40">
        <v>105</v>
      </c>
      <c r="I16" s="43"/>
      <c r="J16" s="44"/>
      <c r="K16" s="44"/>
      <c r="L16" s="44"/>
      <c r="M16" s="44"/>
      <c r="N16" s="44"/>
      <c r="O16" s="44"/>
      <c r="P16" s="45"/>
      <c r="Q16" s="44"/>
      <c r="R16" s="44"/>
      <c r="S16" s="44"/>
      <c r="T16" s="44"/>
      <c r="U16" s="44"/>
      <c r="V16" s="44"/>
      <c r="W16" s="44"/>
      <c r="X16" s="46"/>
      <c r="Y16" s="46"/>
      <c r="Z16" s="47"/>
    </row>
    <row r="17" spans="1:26" ht="13.5" thickBot="1" x14ac:dyDescent="0.25">
      <c r="H17" s="54"/>
      <c r="I17" s="5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5" thickBot="1" x14ac:dyDescent="0.25">
      <c r="H18" s="55">
        <v>42278</v>
      </c>
      <c r="I18" s="6"/>
      <c r="J18" s="72">
        <v>42491</v>
      </c>
      <c r="K18" s="73">
        <v>42644</v>
      </c>
      <c r="L18" s="74">
        <v>42856</v>
      </c>
      <c r="M18" s="74">
        <v>43009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H19" s="36" t="s">
        <v>37</v>
      </c>
      <c r="J19" s="64"/>
      <c r="K19" s="59"/>
      <c r="L19" s="61"/>
      <c r="M19" s="61"/>
    </row>
    <row r="20" spans="1:26" x14ac:dyDescent="0.2">
      <c r="A20" s="19" t="s">
        <v>4</v>
      </c>
      <c r="B20" s="20" t="s">
        <v>5</v>
      </c>
      <c r="H20" s="38" t="s">
        <v>38</v>
      </c>
      <c r="J20" s="64"/>
      <c r="K20" s="59"/>
      <c r="L20" s="61"/>
      <c r="M20" s="61"/>
    </row>
    <row r="21" spans="1:26" ht="13.5" thickBot="1" x14ac:dyDescent="0.25">
      <c r="A21" s="22" t="s">
        <v>31</v>
      </c>
      <c r="B21" s="23"/>
      <c r="H21" s="37">
        <v>1.4</v>
      </c>
      <c r="J21" s="64"/>
      <c r="K21" s="59"/>
      <c r="L21" s="61"/>
      <c r="M21" s="61"/>
    </row>
    <row r="22" spans="1:26" ht="13.5" thickBot="1" x14ac:dyDescent="0.25">
      <c r="A22" s="29" t="s">
        <v>32</v>
      </c>
      <c r="B22" s="32" t="s">
        <v>36</v>
      </c>
      <c r="C22" s="10"/>
      <c r="D22" s="10"/>
      <c r="E22" s="10"/>
      <c r="F22" s="10"/>
      <c r="G22" s="8"/>
      <c r="H22" s="35">
        <f>ROUND(H13/H21,2)</f>
        <v>25</v>
      </c>
      <c r="J22" s="75">
        <v>26</v>
      </c>
      <c r="K22" s="62">
        <v>28</v>
      </c>
      <c r="L22" s="63">
        <v>30</v>
      </c>
      <c r="M22" s="63">
        <v>29</v>
      </c>
    </row>
    <row r="23" spans="1:26" ht="13.5" thickBot="1" x14ac:dyDescent="0.25">
      <c r="A23" s="25" t="s">
        <v>33</v>
      </c>
      <c r="B23" s="33" t="s">
        <v>36</v>
      </c>
      <c r="C23" s="10"/>
      <c r="D23" s="10"/>
      <c r="E23" s="10"/>
      <c r="F23" s="10"/>
      <c r="G23" s="8"/>
      <c r="H23" s="35">
        <f>ROUND(H14/H21,2)</f>
        <v>42.86</v>
      </c>
      <c r="J23" s="75">
        <v>43</v>
      </c>
      <c r="K23" s="62">
        <v>42</v>
      </c>
      <c r="L23" s="63">
        <v>47</v>
      </c>
      <c r="M23" s="63">
        <v>46</v>
      </c>
    </row>
    <row r="24" spans="1:26" ht="13.5" thickBot="1" x14ac:dyDescent="0.25">
      <c r="A24" s="25" t="s">
        <v>34</v>
      </c>
      <c r="B24" s="33" t="s">
        <v>36</v>
      </c>
      <c r="C24" s="10"/>
      <c r="D24" s="10"/>
      <c r="E24" s="10"/>
      <c r="F24" s="10"/>
      <c r="G24" s="8"/>
      <c r="H24" s="35">
        <f>ROUND(H15/H21,2)</f>
        <v>58.33</v>
      </c>
      <c r="J24" s="75">
        <v>60</v>
      </c>
      <c r="K24" s="62">
        <v>58</v>
      </c>
      <c r="L24" s="63">
        <v>65</v>
      </c>
      <c r="M24" s="63">
        <v>64.900000000000006</v>
      </c>
    </row>
    <row r="25" spans="1:26" ht="13.5" thickBot="1" x14ac:dyDescent="0.25">
      <c r="A25" s="25" t="s">
        <v>35</v>
      </c>
      <c r="B25" s="33" t="s">
        <v>36</v>
      </c>
      <c r="C25" s="10"/>
      <c r="D25" s="10"/>
      <c r="E25" s="10"/>
      <c r="F25" s="10"/>
      <c r="G25" s="8"/>
      <c r="H25" s="35">
        <f>ROUND(H16/H21,2)</f>
        <v>75</v>
      </c>
      <c r="J25" s="76">
        <v>78</v>
      </c>
      <c r="K25" s="77">
        <v>75</v>
      </c>
      <c r="L25" s="78">
        <v>82</v>
      </c>
      <c r="M25" s="78">
        <v>82.5</v>
      </c>
    </row>
    <row r="26" spans="1:26" ht="13.5" thickBot="1" x14ac:dyDescent="0.25"/>
    <row r="27" spans="1:26" x14ac:dyDescent="0.2">
      <c r="D27" s="65" t="s">
        <v>46</v>
      </c>
      <c r="E27" s="66"/>
      <c r="F27" s="66"/>
      <c r="G27" s="67"/>
      <c r="H27" s="56">
        <f>SUM(H22:H25)</f>
        <v>201.19</v>
      </c>
      <c r="I27" s="57"/>
      <c r="J27" s="56">
        <f>SUM(J22:J25)</f>
        <v>207</v>
      </c>
      <c r="K27" s="56">
        <f>SUM(K22:K25)</f>
        <v>203</v>
      </c>
      <c r="L27" s="58">
        <f>SUM(L22:L25)</f>
        <v>224</v>
      </c>
      <c r="M27" s="58">
        <f>SUM(M22:M25)</f>
        <v>222.4</v>
      </c>
    </row>
    <row r="28" spans="1:26" x14ac:dyDescent="0.2">
      <c r="D28" s="68" t="s">
        <v>39</v>
      </c>
      <c r="E28" s="69"/>
      <c r="F28" s="69"/>
      <c r="G28" s="70"/>
      <c r="H28" s="59">
        <v>4</v>
      </c>
      <c r="I28" s="60"/>
      <c r="J28" s="59">
        <v>4</v>
      </c>
      <c r="K28" s="59">
        <v>4</v>
      </c>
      <c r="L28" s="61">
        <v>4</v>
      </c>
      <c r="M28" s="61">
        <v>4</v>
      </c>
    </row>
    <row r="29" spans="1:26" x14ac:dyDescent="0.2">
      <c r="D29" s="79" t="s">
        <v>40</v>
      </c>
      <c r="E29" s="80"/>
      <c r="F29" s="80"/>
      <c r="G29" s="81"/>
      <c r="H29" s="82">
        <f>ROUND(H27/H28,2)</f>
        <v>50.3</v>
      </c>
      <c r="I29" s="83"/>
      <c r="J29" s="82">
        <f>ROUND(J27/J28,2)</f>
        <v>51.75</v>
      </c>
      <c r="K29" s="82">
        <f>ROUND(K27/K28,2)</f>
        <v>50.75</v>
      </c>
      <c r="L29" s="84">
        <f>ROUND(L27/L28,2)</f>
        <v>56</v>
      </c>
      <c r="M29" s="84">
        <f>ROUND(M27/M28,2)</f>
        <v>55.6</v>
      </c>
    </row>
    <row r="30" spans="1:26" x14ac:dyDescent="0.2">
      <c r="D30" s="71"/>
      <c r="E30" s="69"/>
      <c r="F30" s="69"/>
      <c r="G30" s="70"/>
      <c r="H30" s="59"/>
      <c r="I30" s="59"/>
      <c r="J30" s="59"/>
      <c r="K30" s="59"/>
      <c r="L30" s="61"/>
      <c r="M30" s="61"/>
    </row>
    <row r="31" spans="1:26" x14ac:dyDescent="0.2">
      <c r="D31" s="68" t="s">
        <v>47</v>
      </c>
      <c r="E31" s="69"/>
      <c r="F31" s="69"/>
      <c r="G31" s="70"/>
      <c r="H31" s="59"/>
      <c r="I31" s="59"/>
      <c r="J31" s="62">
        <f>J29-H29</f>
        <v>1.4500000000000028</v>
      </c>
      <c r="K31" s="62">
        <f>K29-J29</f>
        <v>-1</v>
      </c>
      <c r="L31" s="63">
        <f>L29-K29</f>
        <v>5.25</v>
      </c>
      <c r="M31" s="63">
        <f>M29-L29</f>
        <v>-0.39999999999999858</v>
      </c>
    </row>
    <row r="32" spans="1:26" ht="13.5" thickBot="1" x14ac:dyDescent="0.25">
      <c r="D32" s="85" t="s">
        <v>43</v>
      </c>
      <c r="E32" s="86"/>
      <c r="F32" s="86"/>
      <c r="G32" s="86"/>
      <c r="H32" s="86"/>
      <c r="I32" s="86"/>
      <c r="J32" s="87">
        <f>ROUND(J31/H29%,4)</f>
        <v>2.8826999999999998</v>
      </c>
      <c r="K32" s="87">
        <f>ROUND(K31/J29%,4)</f>
        <v>-1.9323999999999999</v>
      </c>
      <c r="L32" s="88">
        <f>ROUND(L31/K29%,4)</f>
        <v>10.344799999999999</v>
      </c>
      <c r="M32" s="88">
        <f>ROUND(M31/L29%,4)</f>
        <v>-0.71430000000000005</v>
      </c>
    </row>
    <row r="33" spans="4:13" ht="13.5" thickBot="1" x14ac:dyDescent="0.25">
      <c r="J33" s="1"/>
      <c r="K33" s="1"/>
      <c r="L33" s="1"/>
      <c r="M33" s="1"/>
    </row>
    <row r="34" spans="4:13" ht="13.5" thickBot="1" x14ac:dyDescent="0.25">
      <c r="D34" s="89" t="s">
        <v>42</v>
      </c>
      <c r="E34" s="90"/>
      <c r="F34" s="91"/>
      <c r="G34" s="91"/>
      <c r="H34" s="91"/>
      <c r="I34" s="91"/>
      <c r="J34" s="92">
        <v>1.9</v>
      </c>
      <c r="K34" s="92">
        <v>1.93</v>
      </c>
      <c r="L34" s="93">
        <v>1.95</v>
      </c>
      <c r="M34" s="93">
        <v>0.6</v>
      </c>
    </row>
    <row r="35" spans="4:13" ht="13.5" thickBot="1" x14ac:dyDescent="0.25">
      <c r="J35" s="1"/>
      <c r="K35" s="1"/>
      <c r="L35" s="1"/>
      <c r="M35" s="1"/>
    </row>
    <row r="36" spans="4:13" x14ac:dyDescent="0.2">
      <c r="D36" s="65" t="s">
        <v>44</v>
      </c>
      <c r="E36" s="66"/>
      <c r="F36" s="66"/>
      <c r="G36" s="66"/>
      <c r="H36" s="66"/>
      <c r="I36" s="67"/>
      <c r="J36" s="56">
        <f>J32+J34</f>
        <v>4.7827000000000002</v>
      </c>
      <c r="K36" s="56">
        <f t="shared" ref="K36:L36" si="0">K32+K34</f>
        <v>-2.3999999999999577E-3</v>
      </c>
      <c r="L36" s="58">
        <f t="shared" si="0"/>
        <v>12.294799999999999</v>
      </c>
      <c r="M36" s="58">
        <f t="shared" ref="M36" si="1">M32+M34</f>
        <v>-0.11430000000000007</v>
      </c>
    </row>
    <row r="37" spans="4:13" x14ac:dyDescent="0.2">
      <c r="D37" s="68" t="s">
        <v>45</v>
      </c>
      <c r="E37" s="69"/>
      <c r="F37" s="69"/>
      <c r="G37" s="69"/>
      <c r="H37" s="69"/>
      <c r="I37" s="70"/>
      <c r="J37" s="62">
        <v>2</v>
      </c>
      <c r="K37" s="62">
        <v>2</v>
      </c>
      <c r="L37" s="63">
        <v>2</v>
      </c>
      <c r="M37" s="63">
        <v>2</v>
      </c>
    </row>
    <row r="38" spans="4:13" ht="13.5" thickBot="1" x14ac:dyDescent="0.25">
      <c r="D38" s="94" t="s">
        <v>48</v>
      </c>
      <c r="E38" s="95"/>
      <c r="F38" s="95"/>
      <c r="G38" s="95"/>
      <c r="H38" s="95"/>
      <c r="I38" s="96"/>
      <c r="J38" s="97">
        <f>ROUND(J36/J37,2)</f>
        <v>2.39</v>
      </c>
      <c r="K38" s="97">
        <f t="shared" ref="K38:M38" si="2">ROUND(K36/K37,2)</f>
        <v>0</v>
      </c>
      <c r="L38" s="98">
        <f t="shared" si="2"/>
        <v>6.15</v>
      </c>
      <c r="M38" s="98">
        <f t="shared" si="2"/>
        <v>-0.06</v>
      </c>
    </row>
    <row r="39" spans="4:13" x14ac:dyDescent="0.2">
      <c r="J39" s="1"/>
      <c r="K39" s="1"/>
      <c r="L39" s="1"/>
      <c r="M39" s="1"/>
    </row>
    <row r="40" spans="4:13" ht="13.5" thickBot="1" x14ac:dyDescent="0.25">
      <c r="J40" s="1"/>
      <c r="K40" s="1"/>
      <c r="L40" s="1"/>
      <c r="M40" s="1"/>
    </row>
    <row r="41" spans="4:13" ht="13.5" thickBot="1" x14ac:dyDescent="0.25">
      <c r="D41" s="334" t="s">
        <v>49</v>
      </c>
      <c r="E41" s="335"/>
      <c r="F41" s="335"/>
      <c r="G41" s="335"/>
      <c r="H41" s="336"/>
      <c r="J41" s="331" t="s">
        <v>54</v>
      </c>
      <c r="K41" s="332"/>
      <c r="L41" s="332"/>
      <c r="M41" s="333"/>
    </row>
    <row r="42" spans="4:13" ht="13.5" thickBot="1" x14ac:dyDescent="0.25">
      <c r="D42" s="99" t="s">
        <v>50</v>
      </c>
      <c r="E42" s="8"/>
      <c r="F42" s="9"/>
      <c r="G42" s="100"/>
      <c r="H42" s="10">
        <v>10</v>
      </c>
      <c r="J42" s="75">
        <f>IF(J38&lt;0,H42,ROUND(H42*J38%,2)+H42)</f>
        <v>10.24</v>
      </c>
      <c r="K42" s="62">
        <f>IF(K38&lt;0,J42,ROUND(J42*K38%,2)+J42)</f>
        <v>10.24</v>
      </c>
      <c r="L42" s="62">
        <f>IF(L38&lt;0,K42,ROUND(K42*L38%,2)+K42)</f>
        <v>10.870000000000001</v>
      </c>
      <c r="M42" s="63">
        <f>IF(M38&lt;0,L42,ROUND(L42*M38%,2)+L42)</f>
        <v>10.870000000000001</v>
      </c>
    </row>
    <row r="43" spans="4:13" ht="13.5" thickBot="1" x14ac:dyDescent="0.25">
      <c r="D43" s="99" t="s">
        <v>51</v>
      </c>
      <c r="E43" s="8"/>
      <c r="F43" s="9"/>
      <c r="G43" s="100"/>
      <c r="H43" s="10">
        <v>25</v>
      </c>
      <c r="J43" s="75">
        <f>IF(J38&lt;0,H43,ROUND(H43*J38%,2)+H43)</f>
        <v>25.6</v>
      </c>
      <c r="K43" s="62">
        <f>IF(K38&lt;0,J43,ROUND(J43*K38%,2)+J43)</f>
        <v>25.6</v>
      </c>
      <c r="L43" s="62">
        <f>IF(L38&lt;0,K43,ROUND(K43*L38%,2)+K43)</f>
        <v>27.17</v>
      </c>
      <c r="M43" s="63">
        <f>IF(M38&lt;0,L43,ROUND(L43*M38%,2)+L43)</f>
        <v>27.17</v>
      </c>
    </row>
    <row r="44" spans="4:13" ht="13.5" thickBot="1" x14ac:dyDescent="0.25">
      <c r="D44" s="99" t="s">
        <v>52</v>
      </c>
      <c r="E44" s="8"/>
      <c r="F44" s="9"/>
      <c r="G44" s="100"/>
      <c r="H44" s="10">
        <v>35</v>
      </c>
      <c r="J44" s="75">
        <f>IF(J38&lt;0,H44,ROUND(J38*H44%,2)+H44)</f>
        <v>35.840000000000003</v>
      </c>
      <c r="K44" s="62">
        <f>IF(K38&lt;0,J44,ROUND(J44*K38%,2)+J44)</f>
        <v>35.840000000000003</v>
      </c>
      <c r="L44" s="62">
        <f>IF(L38&lt;0,K44,ROUND(K44*L38%,2)+K44)</f>
        <v>38.040000000000006</v>
      </c>
      <c r="M44" s="63">
        <f>IF(M38&lt;0,L44,ROUND(L44*M38%,2)+L44)</f>
        <v>38.040000000000006</v>
      </c>
    </row>
    <row r="45" spans="4:13" ht="13.5" thickBot="1" x14ac:dyDescent="0.25">
      <c r="D45" s="99" t="s">
        <v>53</v>
      </c>
      <c r="E45" s="8"/>
      <c r="F45" s="9"/>
      <c r="G45" s="100"/>
      <c r="H45" s="10">
        <v>45</v>
      </c>
      <c r="J45" s="76">
        <f>IF(J38&lt;0,H45,ROUND(H45*J38%,2)+H45)</f>
        <v>46.08</v>
      </c>
      <c r="K45" s="77">
        <f>IF(K38&lt;0,J45,ROUND(J45*K38%,2)+J45)</f>
        <v>46.08</v>
      </c>
      <c r="L45" s="77">
        <f>IF(L38&lt;0,K45,ROUND(K45*L38%,2)+K45)</f>
        <v>48.91</v>
      </c>
      <c r="M45" s="78">
        <f>IF(M38&lt;0,L45,ROUND(L45*M38%,2)+L45)</f>
        <v>48.91</v>
      </c>
    </row>
    <row r="46" spans="4:13" x14ac:dyDescent="0.2">
      <c r="J46" s="1"/>
      <c r="K46" s="1"/>
      <c r="L46" s="1"/>
      <c r="M46" s="1"/>
    </row>
    <row r="47" spans="4:13" x14ac:dyDescent="0.2">
      <c r="J47" s="1"/>
      <c r="K47" s="1"/>
      <c r="L47" s="1"/>
      <c r="M47" s="1"/>
    </row>
    <row r="49" spans="1:25" ht="13.5" thickBot="1" x14ac:dyDescent="0.25"/>
    <row r="50" spans="1:25" ht="14.25" thickTop="1" thickBot="1" x14ac:dyDescent="0.25">
      <c r="J50" s="129" t="s">
        <v>85</v>
      </c>
      <c r="K50" s="157"/>
      <c r="L50" s="11"/>
      <c r="M50" s="129" t="s">
        <v>85</v>
      </c>
      <c r="N50" s="157"/>
      <c r="O50" s="11"/>
      <c r="P50" s="129" t="s">
        <v>85</v>
      </c>
      <c r="Q50" s="157"/>
      <c r="R50" s="11"/>
      <c r="S50" s="129" t="s">
        <v>85</v>
      </c>
      <c r="T50" s="157"/>
      <c r="U50" s="11"/>
    </row>
    <row r="51" spans="1:25" ht="13.5" thickTop="1" x14ac:dyDescent="0.2">
      <c r="A51" s="147" t="s">
        <v>71</v>
      </c>
      <c r="B51" s="148" t="s">
        <v>72</v>
      </c>
      <c r="C51" s="148" t="s">
        <v>73</v>
      </c>
      <c r="D51" s="149" t="s">
        <v>74</v>
      </c>
      <c r="H51" s="197" t="s">
        <v>85</v>
      </c>
      <c r="J51" s="158">
        <v>42491</v>
      </c>
      <c r="K51" s="159"/>
      <c r="L51" s="160">
        <v>42491</v>
      </c>
      <c r="M51" s="158">
        <v>42644</v>
      </c>
      <c r="N51" s="159"/>
      <c r="O51" s="160">
        <v>42644</v>
      </c>
      <c r="P51" s="158">
        <v>42856</v>
      </c>
      <c r="Q51" s="159"/>
      <c r="R51" s="160">
        <v>42856</v>
      </c>
      <c r="S51" s="158">
        <v>43009</v>
      </c>
      <c r="T51" s="159"/>
      <c r="U51" s="160">
        <v>43009</v>
      </c>
    </row>
    <row r="52" spans="1:25" x14ac:dyDescent="0.2">
      <c r="A52" s="150"/>
      <c r="B52" s="59" t="s">
        <v>75</v>
      </c>
      <c r="C52" s="59" t="s">
        <v>76</v>
      </c>
      <c r="D52" s="151" t="s">
        <v>77</v>
      </c>
      <c r="H52" s="198" t="s">
        <v>86</v>
      </c>
      <c r="J52" s="161"/>
      <c r="K52" s="162" t="s">
        <v>83</v>
      </c>
      <c r="L52" s="163" t="s">
        <v>84</v>
      </c>
      <c r="M52" s="161"/>
      <c r="N52" s="162" t="s">
        <v>83</v>
      </c>
      <c r="O52" s="163" t="s">
        <v>84</v>
      </c>
      <c r="P52" s="161"/>
      <c r="Q52" s="162" t="s">
        <v>83</v>
      </c>
      <c r="R52" s="163" t="s">
        <v>84</v>
      </c>
      <c r="S52" s="161"/>
      <c r="T52" s="162" t="s">
        <v>83</v>
      </c>
      <c r="U52" s="163" t="s">
        <v>84</v>
      </c>
    </row>
    <row r="53" spans="1:25" x14ac:dyDescent="0.2">
      <c r="A53" s="150" t="s">
        <v>78</v>
      </c>
      <c r="B53" s="62">
        <v>219857.69</v>
      </c>
      <c r="C53" s="62">
        <v>10</v>
      </c>
      <c r="D53" s="152">
        <f>ROUND(B53*C53,2)</f>
        <v>2198576.9</v>
      </c>
      <c r="H53" s="199">
        <f>H22</f>
        <v>25</v>
      </c>
      <c r="I53" s="141"/>
      <c r="J53" s="164">
        <f>J22</f>
        <v>26</v>
      </c>
      <c r="K53" s="165">
        <f>ROUND(J53/H53%,2)-100</f>
        <v>4</v>
      </c>
      <c r="L53" s="166">
        <f>ROUND(C53*K53%,2)+C53</f>
        <v>10.4</v>
      </c>
      <c r="M53" s="164">
        <v>28</v>
      </c>
      <c r="N53" s="165">
        <f>ROUND(M53/J53%,2)-100</f>
        <v>7.6899999999999977</v>
      </c>
      <c r="O53" s="166">
        <f>IF(N53&lt;=0,L53,ROUND(L53*N53%,2)+L53)</f>
        <v>11.200000000000001</v>
      </c>
      <c r="P53" s="164">
        <v>30</v>
      </c>
      <c r="Q53" s="165">
        <f>ROUND(P53/M53%,2)-100</f>
        <v>7.1400000000000006</v>
      </c>
      <c r="R53" s="166">
        <f>IF(Q53&lt;=0,O53,ROUND(O53*Q53%,2)+O53)</f>
        <v>12.000000000000002</v>
      </c>
      <c r="S53" s="164">
        <v>29</v>
      </c>
      <c r="T53" s="165">
        <f>ROUND(S53/P53%,2)-100</f>
        <v>-3.3299999999999983</v>
      </c>
      <c r="U53" s="166">
        <f>IF(T53&lt;=0,R53,ROUND(R53*T53%,2)+R53)</f>
        <v>12.000000000000002</v>
      </c>
      <c r="V53" s="1"/>
      <c r="W53" s="1"/>
      <c r="X53" s="1"/>
      <c r="Y53" s="1"/>
    </row>
    <row r="54" spans="1:25" x14ac:dyDescent="0.2">
      <c r="A54" s="150" t="s">
        <v>79</v>
      </c>
      <c r="B54" s="62">
        <v>234058.32</v>
      </c>
      <c r="C54" s="62">
        <v>25</v>
      </c>
      <c r="D54" s="152">
        <f t="shared" ref="D54:D56" si="3">ROUND(B54*C54,2)</f>
        <v>5851458</v>
      </c>
      <c r="H54" s="199">
        <f t="shared" ref="H54:H56" si="4">H23</f>
        <v>42.86</v>
      </c>
      <c r="I54" s="141"/>
      <c r="J54" s="164">
        <f t="shared" ref="J54:J56" si="5">J23</f>
        <v>43</v>
      </c>
      <c r="K54" s="165">
        <f t="shared" ref="K54:K56" si="6">ROUND(J54/H54%,2)-100</f>
        <v>0.32999999999999829</v>
      </c>
      <c r="L54" s="166">
        <f t="shared" ref="L54:L56" si="7">ROUND(C54*K54%,2)+C54</f>
        <v>25.08</v>
      </c>
      <c r="M54" s="164">
        <v>42</v>
      </c>
      <c r="N54" s="165">
        <f t="shared" ref="N54:N56" si="8">ROUND(M54/J54%,2)-100</f>
        <v>-2.3299999999999983</v>
      </c>
      <c r="O54" s="166">
        <f t="shared" ref="O54:O56" si="9">IF(N54&lt;=0,L54,ROUND(L54*N54%,2)+L54)</f>
        <v>25.08</v>
      </c>
      <c r="P54" s="164">
        <v>47</v>
      </c>
      <c r="Q54" s="165">
        <f t="shared" ref="Q54:Q56" si="10">ROUND(P54/M54%,2)-100</f>
        <v>11.900000000000006</v>
      </c>
      <c r="R54" s="166">
        <f t="shared" ref="R54:R56" si="11">IF(Q54&lt;=0,O54,ROUND(O54*Q54%,2)+O54)</f>
        <v>28.06</v>
      </c>
      <c r="S54" s="164">
        <v>46</v>
      </c>
      <c r="T54" s="165">
        <f t="shared" ref="T54:T56" si="12">ROUND(S54/P54%,2)-100</f>
        <v>-2.1299999999999955</v>
      </c>
      <c r="U54" s="166">
        <f t="shared" ref="U54:U56" si="13">IF(T54&lt;=0,R54,ROUND(R54*T54%,2)+R54)</f>
        <v>28.06</v>
      </c>
      <c r="V54" s="1"/>
      <c r="W54" s="1"/>
      <c r="X54" s="1"/>
      <c r="Y54" s="1"/>
    </row>
    <row r="55" spans="1:25" x14ac:dyDescent="0.2">
      <c r="A55" s="150" t="s">
        <v>80</v>
      </c>
      <c r="B55" s="62">
        <v>47990.11</v>
      </c>
      <c r="C55" s="62">
        <v>35</v>
      </c>
      <c r="D55" s="152">
        <f t="shared" si="3"/>
        <v>1679653.85</v>
      </c>
      <c r="H55" s="199">
        <f t="shared" si="4"/>
        <v>58.33</v>
      </c>
      <c r="I55" s="141"/>
      <c r="J55" s="164">
        <f t="shared" si="5"/>
        <v>60</v>
      </c>
      <c r="K55" s="165">
        <f t="shared" si="6"/>
        <v>2.8599999999999994</v>
      </c>
      <c r="L55" s="166">
        <f t="shared" si="7"/>
        <v>36</v>
      </c>
      <c r="M55" s="164">
        <v>58</v>
      </c>
      <c r="N55" s="165">
        <f t="shared" si="8"/>
        <v>-3.3299999999999983</v>
      </c>
      <c r="O55" s="166">
        <f t="shared" si="9"/>
        <v>36</v>
      </c>
      <c r="P55" s="164">
        <v>65</v>
      </c>
      <c r="Q55" s="165">
        <f t="shared" si="10"/>
        <v>12.069999999999993</v>
      </c>
      <c r="R55" s="166">
        <f t="shared" si="11"/>
        <v>40.35</v>
      </c>
      <c r="S55" s="164">
        <v>64.900000000000006</v>
      </c>
      <c r="T55" s="165">
        <f t="shared" si="12"/>
        <v>-0.15000000000000568</v>
      </c>
      <c r="U55" s="166">
        <f t="shared" si="13"/>
        <v>40.35</v>
      </c>
      <c r="V55" s="1"/>
      <c r="W55" s="1"/>
      <c r="X55" s="1"/>
      <c r="Y55" s="1"/>
    </row>
    <row r="56" spans="1:25" ht="13.5" thickBot="1" x14ac:dyDescent="0.25">
      <c r="A56" s="150" t="s">
        <v>81</v>
      </c>
      <c r="B56" s="62">
        <v>0</v>
      </c>
      <c r="C56" s="62">
        <v>45</v>
      </c>
      <c r="D56" s="152">
        <f t="shared" si="3"/>
        <v>0</v>
      </c>
      <c r="H56" s="200">
        <f t="shared" si="4"/>
        <v>75</v>
      </c>
      <c r="I56" s="141"/>
      <c r="J56" s="167">
        <f t="shared" si="5"/>
        <v>78</v>
      </c>
      <c r="K56" s="168">
        <f t="shared" si="6"/>
        <v>4</v>
      </c>
      <c r="L56" s="169">
        <f t="shared" si="7"/>
        <v>46.8</v>
      </c>
      <c r="M56" s="167">
        <v>75</v>
      </c>
      <c r="N56" s="168">
        <f t="shared" si="8"/>
        <v>-3.8499999999999943</v>
      </c>
      <c r="O56" s="169">
        <f t="shared" si="9"/>
        <v>46.8</v>
      </c>
      <c r="P56" s="167">
        <v>82</v>
      </c>
      <c r="Q56" s="168">
        <f t="shared" si="10"/>
        <v>9.3299999999999983</v>
      </c>
      <c r="R56" s="169">
        <f t="shared" si="11"/>
        <v>51.169999999999995</v>
      </c>
      <c r="S56" s="167">
        <v>82.5</v>
      </c>
      <c r="T56" s="168">
        <f t="shared" si="12"/>
        <v>0.60999999999999943</v>
      </c>
      <c r="U56" s="169">
        <f t="shared" si="13"/>
        <v>51.48</v>
      </c>
      <c r="V56" s="1"/>
      <c r="W56" s="1"/>
      <c r="X56" s="1"/>
      <c r="Y56" s="1"/>
    </row>
    <row r="57" spans="1:25" ht="14.25" thickTop="1" thickBot="1" x14ac:dyDescent="0.25">
      <c r="A57" s="153" t="s">
        <v>82</v>
      </c>
      <c r="B57" s="154">
        <f>SUM(B53:B56)</f>
        <v>501906.12</v>
      </c>
      <c r="C57" s="154"/>
      <c r="D57" s="155">
        <f>SUM(D53:D56)</f>
        <v>9729688.75</v>
      </c>
      <c r="H57" s="156"/>
      <c r="I57" s="141"/>
      <c r="J57" s="177"/>
      <c r="K57" s="178"/>
      <c r="L57" s="179"/>
      <c r="M57" s="177"/>
      <c r="N57" s="178"/>
      <c r="O57" s="179"/>
      <c r="P57" s="177"/>
      <c r="Q57" s="178"/>
      <c r="R57" s="191"/>
      <c r="S57" s="193"/>
      <c r="T57" s="130"/>
      <c r="U57" s="191"/>
      <c r="V57" s="1"/>
      <c r="W57" s="1"/>
      <c r="X57" s="1"/>
      <c r="Y57" s="1"/>
    </row>
    <row r="58" spans="1:25" ht="13.5" thickTop="1" x14ac:dyDescent="0.2">
      <c r="D58" s="1">
        <v>144</v>
      </c>
      <c r="H58" s="141"/>
      <c r="I58" s="141"/>
      <c r="J58" s="164"/>
      <c r="K58" s="165"/>
      <c r="L58" s="166"/>
      <c r="M58" s="164"/>
      <c r="N58" s="165"/>
      <c r="O58" s="166"/>
      <c r="P58" s="164"/>
      <c r="Q58" s="165"/>
      <c r="R58" s="192"/>
      <c r="S58" s="194"/>
      <c r="T58" s="2"/>
      <c r="U58" s="192"/>
      <c r="V58" s="1"/>
      <c r="W58" s="1"/>
      <c r="X58" s="1"/>
      <c r="Y58" s="1"/>
    </row>
    <row r="59" spans="1:25" x14ac:dyDescent="0.2">
      <c r="A59" s="7" t="s">
        <v>87</v>
      </c>
      <c r="D59" s="1">
        <f>ROUND(D57/D58,2)</f>
        <v>67567.28</v>
      </c>
      <c r="H59" s="141"/>
      <c r="I59" s="141"/>
      <c r="J59" s="164"/>
      <c r="K59" s="165"/>
      <c r="L59" s="166"/>
      <c r="M59" s="164"/>
      <c r="N59" s="165"/>
      <c r="O59" s="166"/>
      <c r="P59" s="164"/>
      <c r="Q59" s="165"/>
      <c r="R59" s="192"/>
      <c r="S59" s="194"/>
      <c r="T59" s="2"/>
      <c r="U59" s="192"/>
      <c r="V59" s="1"/>
      <c r="W59" s="1"/>
      <c r="X59" s="1"/>
      <c r="Y59" s="1"/>
    </row>
    <row r="60" spans="1:25" ht="13.5" thickBot="1" x14ac:dyDescent="0.25">
      <c r="H60" s="141"/>
      <c r="I60" s="141"/>
      <c r="J60" s="164"/>
      <c r="K60" s="165"/>
      <c r="L60" s="166"/>
      <c r="M60" s="164"/>
      <c r="N60" s="165"/>
      <c r="O60" s="166"/>
      <c r="P60" s="164"/>
      <c r="Q60" s="165"/>
      <c r="R60" s="192"/>
      <c r="S60" s="194"/>
      <c r="T60" s="2"/>
      <c r="U60" s="192"/>
      <c r="V60" s="1"/>
      <c r="W60" s="1"/>
      <c r="X60" s="1"/>
      <c r="Y60" s="1"/>
    </row>
    <row r="61" spans="1:25" ht="13.5" thickTop="1" x14ac:dyDescent="0.2">
      <c r="A61" s="147" t="s">
        <v>71</v>
      </c>
      <c r="B61" s="148" t="s">
        <v>72</v>
      </c>
      <c r="C61" s="148" t="s">
        <v>73</v>
      </c>
      <c r="D61" s="149" t="s">
        <v>74</v>
      </c>
      <c r="H61" s="141"/>
      <c r="I61" s="141"/>
      <c r="J61" s="164"/>
      <c r="K61" s="165"/>
      <c r="L61" s="166"/>
      <c r="M61" s="164"/>
      <c r="N61" s="165"/>
      <c r="O61" s="166"/>
      <c r="P61" s="164"/>
      <c r="Q61" s="165"/>
      <c r="R61" s="192"/>
      <c r="S61" s="194"/>
      <c r="T61" s="2"/>
      <c r="U61" s="192"/>
      <c r="V61" s="1"/>
      <c r="W61" s="1"/>
      <c r="X61" s="1"/>
      <c r="Y61" s="1"/>
    </row>
    <row r="62" spans="1:25" x14ac:dyDescent="0.2">
      <c r="A62" s="150"/>
      <c r="B62" s="59" t="s">
        <v>75</v>
      </c>
      <c r="C62" s="59" t="s">
        <v>76</v>
      </c>
      <c r="D62" s="151" t="s">
        <v>77</v>
      </c>
      <c r="H62" s="142"/>
      <c r="I62" s="140"/>
      <c r="J62" s="180"/>
      <c r="K62" s="181"/>
      <c r="L62" s="182"/>
      <c r="M62" s="180"/>
      <c r="N62" s="181"/>
      <c r="O62" s="182"/>
      <c r="P62" s="180"/>
      <c r="Q62" s="181"/>
      <c r="R62" s="3"/>
      <c r="S62" s="161"/>
      <c r="T62" s="159"/>
      <c r="U62" s="3"/>
    </row>
    <row r="63" spans="1:25" x14ac:dyDescent="0.2">
      <c r="A63" s="150" t="s">
        <v>78</v>
      </c>
      <c r="B63" s="62">
        <v>219857.69</v>
      </c>
      <c r="C63" s="62">
        <v>10</v>
      </c>
      <c r="D63" s="152">
        <f>ROUND(B63*C63,2)</f>
        <v>2198576.9</v>
      </c>
      <c r="H63" s="142"/>
      <c r="I63" s="140"/>
      <c r="J63" s="183"/>
      <c r="K63" s="184">
        <f>L53</f>
        <v>10.4</v>
      </c>
      <c r="L63" s="185">
        <f>ROUND(B63*K63,2)</f>
        <v>2286519.98</v>
      </c>
      <c r="M63" s="183"/>
      <c r="N63" s="184">
        <f>O53</f>
        <v>11.200000000000001</v>
      </c>
      <c r="O63" s="190">
        <f>ROUND(B63*N63,2)</f>
        <v>2462406.13</v>
      </c>
      <c r="P63" s="183"/>
      <c r="Q63" s="184">
        <f>R53</f>
        <v>12.000000000000002</v>
      </c>
      <c r="R63" s="190">
        <f>ROUND(B63*Q63,2)</f>
        <v>2638292.2799999998</v>
      </c>
      <c r="S63" s="195"/>
      <c r="T63" s="184">
        <f>U53</f>
        <v>12.000000000000002</v>
      </c>
      <c r="U63" s="190">
        <f>ROUND(B63*T63,2)</f>
        <v>2638292.2799999998</v>
      </c>
      <c r="V63" s="170"/>
      <c r="W63" s="170"/>
    </row>
    <row r="64" spans="1:25" x14ac:dyDescent="0.2">
      <c r="A64" s="150" t="s">
        <v>79</v>
      </c>
      <c r="B64" s="62">
        <v>234058.32</v>
      </c>
      <c r="C64" s="62">
        <v>25</v>
      </c>
      <c r="D64" s="152">
        <f t="shared" ref="D64:D66" si="14">ROUND(B64*C64,2)</f>
        <v>5851458</v>
      </c>
      <c r="H64" s="142"/>
      <c r="I64" s="140"/>
      <c r="J64" s="183"/>
      <c r="K64" s="184">
        <f t="shared" ref="K64:K66" si="15">L54</f>
        <v>25.08</v>
      </c>
      <c r="L64" s="185">
        <f t="shared" ref="L64:L66" si="16">ROUND(B64*K64,2)</f>
        <v>5870182.6699999999</v>
      </c>
      <c r="M64" s="183"/>
      <c r="N64" s="184">
        <f t="shared" ref="N64:N66" si="17">O54</f>
        <v>25.08</v>
      </c>
      <c r="O64" s="190">
        <f t="shared" ref="O64:O66" si="18">ROUND(B64*N64,2)</f>
        <v>5870182.6699999999</v>
      </c>
      <c r="P64" s="183"/>
      <c r="Q64" s="184">
        <f t="shared" ref="Q64:Q66" si="19">R54</f>
        <v>28.06</v>
      </c>
      <c r="R64" s="190">
        <f t="shared" ref="R64:R66" si="20">ROUND(B64*Q64,2)</f>
        <v>6567676.46</v>
      </c>
      <c r="S64" s="195"/>
      <c r="T64" s="184">
        <f t="shared" ref="T64:T66" si="21">U54</f>
        <v>28.06</v>
      </c>
      <c r="U64" s="190">
        <f t="shared" ref="U64:U66" si="22">ROUND(B64*T64,2)</f>
        <v>6567676.46</v>
      </c>
      <c r="V64" s="170"/>
      <c r="W64" s="170"/>
    </row>
    <row r="65" spans="1:23" x14ac:dyDescent="0.2">
      <c r="A65" s="150" t="s">
        <v>80</v>
      </c>
      <c r="B65" s="62">
        <v>47990.11</v>
      </c>
      <c r="C65" s="62">
        <v>35</v>
      </c>
      <c r="D65" s="152">
        <f t="shared" si="14"/>
        <v>1679653.85</v>
      </c>
      <c r="H65" s="142"/>
      <c r="I65" s="142"/>
      <c r="J65" s="183"/>
      <c r="K65" s="184">
        <f t="shared" si="15"/>
        <v>36</v>
      </c>
      <c r="L65" s="185">
        <f t="shared" si="16"/>
        <v>1727643.96</v>
      </c>
      <c r="M65" s="183"/>
      <c r="N65" s="184">
        <f t="shared" si="17"/>
        <v>36</v>
      </c>
      <c r="O65" s="190">
        <f t="shared" si="18"/>
        <v>1727643.96</v>
      </c>
      <c r="P65" s="183"/>
      <c r="Q65" s="184">
        <f t="shared" si="19"/>
        <v>40.35</v>
      </c>
      <c r="R65" s="190">
        <f t="shared" si="20"/>
        <v>1936400.94</v>
      </c>
      <c r="S65" s="195"/>
      <c r="T65" s="184">
        <f t="shared" si="21"/>
        <v>40.35</v>
      </c>
      <c r="U65" s="190">
        <f t="shared" si="22"/>
        <v>1936400.94</v>
      </c>
      <c r="V65" s="170"/>
      <c r="W65" s="170"/>
    </row>
    <row r="66" spans="1:23" x14ac:dyDescent="0.2">
      <c r="A66" s="150" t="s">
        <v>81</v>
      </c>
      <c r="B66" s="62">
        <v>0</v>
      </c>
      <c r="C66" s="62">
        <v>45</v>
      </c>
      <c r="D66" s="152">
        <f t="shared" si="14"/>
        <v>0</v>
      </c>
      <c r="H66" s="142"/>
      <c r="I66" s="142"/>
      <c r="J66" s="183"/>
      <c r="K66" s="184">
        <f t="shared" si="15"/>
        <v>46.8</v>
      </c>
      <c r="L66" s="185">
        <f t="shared" si="16"/>
        <v>0</v>
      </c>
      <c r="M66" s="183"/>
      <c r="N66" s="184">
        <f t="shared" si="17"/>
        <v>46.8</v>
      </c>
      <c r="O66" s="190">
        <f t="shared" si="18"/>
        <v>0</v>
      </c>
      <c r="P66" s="183"/>
      <c r="Q66" s="184">
        <f t="shared" si="19"/>
        <v>51.169999999999995</v>
      </c>
      <c r="R66" s="190">
        <f t="shared" si="20"/>
        <v>0</v>
      </c>
      <c r="S66" s="195"/>
      <c r="T66" s="184">
        <f t="shared" si="21"/>
        <v>51.48</v>
      </c>
      <c r="U66" s="190">
        <f t="shared" si="22"/>
        <v>0</v>
      </c>
      <c r="V66" s="170"/>
      <c r="W66" s="170"/>
    </row>
    <row r="67" spans="1:23" ht="13.5" thickBot="1" x14ac:dyDescent="0.25">
      <c r="A67" s="153" t="s">
        <v>82</v>
      </c>
      <c r="B67" s="154">
        <f>SUM(B63:B66)</f>
        <v>501906.12</v>
      </c>
      <c r="C67" s="154"/>
      <c r="D67" s="155">
        <f>SUM(D63:D66)</f>
        <v>9729688.75</v>
      </c>
      <c r="H67" s="142"/>
      <c r="I67" s="142"/>
      <c r="J67" s="183"/>
      <c r="K67" s="184"/>
      <c r="L67" s="185">
        <f>SUM(L63:L66)</f>
        <v>9884346.6099999994</v>
      </c>
      <c r="M67" s="183"/>
      <c r="N67" s="184"/>
      <c r="O67" s="190">
        <f>SUM(O63:O66)</f>
        <v>10060232.76</v>
      </c>
      <c r="P67" s="183"/>
      <c r="Q67" s="184"/>
      <c r="R67" s="190">
        <f>SUM(R63:R66)</f>
        <v>11142369.68</v>
      </c>
      <c r="S67" s="195"/>
      <c r="T67" s="184"/>
      <c r="U67" s="190">
        <f>SUM(U63:U66)</f>
        <v>11142369.68</v>
      </c>
      <c r="V67" s="170"/>
      <c r="W67" s="170"/>
    </row>
    <row r="68" spans="1:23" ht="13.5" thickTop="1" x14ac:dyDescent="0.2">
      <c r="D68" s="1">
        <v>144</v>
      </c>
      <c r="H68" s="142"/>
      <c r="I68" s="138"/>
      <c r="J68" s="186"/>
      <c r="K68" s="184"/>
      <c r="L68" s="185">
        <v>144</v>
      </c>
      <c r="M68" s="183"/>
      <c r="N68" s="184"/>
      <c r="O68" s="185">
        <v>144</v>
      </c>
      <c r="P68" s="183"/>
      <c r="Q68" s="184"/>
      <c r="R68" s="185">
        <v>144</v>
      </c>
      <c r="S68" s="195"/>
      <c r="T68" s="184"/>
      <c r="U68" s="185">
        <v>144</v>
      </c>
      <c r="V68" s="170"/>
      <c r="W68" s="170"/>
    </row>
    <row r="69" spans="1:23" ht="13.5" thickBot="1" x14ac:dyDescent="0.25">
      <c r="A69" s="172" t="s">
        <v>88</v>
      </c>
      <c r="B69" s="173"/>
      <c r="C69" s="173"/>
      <c r="D69" s="174">
        <f>ROUND(D67/D68,2)</f>
        <v>67567.28</v>
      </c>
      <c r="E69" s="173"/>
      <c r="F69" s="173"/>
      <c r="G69" s="173"/>
      <c r="H69" s="175"/>
      <c r="I69" s="176"/>
      <c r="J69" s="187"/>
      <c r="K69" s="188"/>
      <c r="L69" s="189">
        <f>ROUND(L67/L68,2)</f>
        <v>68641.3</v>
      </c>
      <c r="M69" s="187"/>
      <c r="N69" s="188"/>
      <c r="O69" s="189">
        <f>ROUND(O67/O68,2)</f>
        <v>69862.73</v>
      </c>
      <c r="P69" s="187"/>
      <c r="Q69" s="188"/>
      <c r="R69" s="189">
        <f>ROUND(R67/R68,2)</f>
        <v>77377.570000000007</v>
      </c>
      <c r="S69" s="196"/>
      <c r="T69" s="188"/>
      <c r="U69" s="189">
        <f>ROUND(U67/U68,2)</f>
        <v>77377.570000000007</v>
      </c>
      <c r="V69" s="170"/>
      <c r="W69" s="170"/>
    </row>
    <row r="70" spans="1:23" ht="13.5" thickTop="1" x14ac:dyDescent="0.2">
      <c r="H70" s="144"/>
      <c r="I70" s="138"/>
      <c r="J70" s="171"/>
      <c r="K70" s="156"/>
      <c r="L70" s="156"/>
      <c r="M70" s="156"/>
      <c r="N70" s="156"/>
      <c r="O70" s="156"/>
      <c r="P70" s="156"/>
      <c r="Q70" s="156"/>
      <c r="R70" s="170"/>
      <c r="S70" s="170"/>
      <c r="T70" s="170"/>
      <c r="U70" s="170"/>
      <c r="V70" s="170"/>
      <c r="W70" s="170"/>
    </row>
    <row r="71" spans="1:23" x14ac:dyDescent="0.2">
      <c r="H71" s="144"/>
      <c r="I71" s="138"/>
      <c r="J71" s="137"/>
      <c r="K71" s="138"/>
      <c r="L71" s="145"/>
      <c r="M71" s="145"/>
      <c r="N71" s="143"/>
      <c r="O71" s="139"/>
      <c r="P71" s="139"/>
      <c r="Q71" s="142"/>
    </row>
  </sheetData>
  <mergeCells count="5">
    <mergeCell ref="A6:Z6"/>
    <mergeCell ref="A7:Z7"/>
    <mergeCell ref="A10:Y10"/>
    <mergeCell ref="J41:M41"/>
    <mergeCell ref="D41:H41"/>
  </mergeCells>
  <pageMargins left="0.511811024" right="0.511811024" top="0.78740157499999996" bottom="0.78740157499999996" header="0.31496062000000002" footer="0.31496062000000002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72"/>
  <sheetViews>
    <sheetView topLeftCell="E1" workbookViewId="0">
      <selection activeCell="H10" sqref="H10:Q10"/>
    </sheetView>
  </sheetViews>
  <sheetFormatPr defaultRowHeight="12.75" x14ac:dyDescent="0.2"/>
  <cols>
    <col min="7" max="7" width="50.5703125" bestFit="1" customWidth="1"/>
    <col min="8" max="13" width="14.140625" bestFit="1" customWidth="1"/>
    <col min="14" max="14" width="14.42578125" bestFit="1" customWidth="1"/>
    <col min="15" max="16" width="14.7109375" bestFit="1" customWidth="1"/>
    <col min="17" max="17" width="7.7109375" bestFit="1" customWidth="1"/>
  </cols>
  <sheetData>
    <row r="6" spans="1:17" x14ac:dyDescent="0.2">
      <c r="H6" s="7" t="s">
        <v>130</v>
      </c>
    </row>
    <row r="7" spans="1:17" ht="13.5" thickBot="1" x14ac:dyDescent="0.25"/>
    <row r="8" spans="1:17" ht="30.75" thickTop="1" x14ac:dyDescent="0.2">
      <c r="B8" s="129" t="s">
        <v>116</v>
      </c>
      <c r="C8" s="241" t="s">
        <v>117</v>
      </c>
      <c r="D8" s="242" t="s">
        <v>118</v>
      </c>
      <c r="G8" s="233" t="s">
        <v>105</v>
      </c>
      <c r="H8" s="234">
        <v>38231</v>
      </c>
      <c r="I8" s="234">
        <v>38961</v>
      </c>
      <c r="J8" s="234">
        <v>39326</v>
      </c>
      <c r="K8" s="234">
        <v>39692</v>
      </c>
      <c r="L8" s="234">
        <v>40422</v>
      </c>
      <c r="M8" s="234">
        <v>40787</v>
      </c>
      <c r="N8" s="234">
        <v>41153</v>
      </c>
      <c r="O8" s="234">
        <v>41548</v>
      </c>
      <c r="P8" s="234">
        <v>41913</v>
      </c>
      <c r="Q8" s="234">
        <v>42278</v>
      </c>
    </row>
    <row r="9" spans="1:17" x14ac:dyDescent="0.2">
      <c r="A9" s="1"/>
      <c r="B9" s="194">
        <v>10</v>
      </c>
      <c r="C9" s="2">
        <v>25</v>
      </c>
      <c r="D9" s="192">
        <f>ROUND(B9/C9%,2)</f>
        <v>40</v>
      </c>
      <c r="E9" s="1"/>
      <c r="F9" s="1"/>
      <c r="G9" s="235" t="s">
        <v>32</v>
      </c>
      <c r="H9" s="236">
        <v>63.95</v>
      </c>
      <c r="I9" s="236">
        <v>40.67</v>
      </c>
      <c r="J9" s="236">
        <v>51.55</v>
      </c>
      <c r="K9" s="236">
        <v>36.659999999999997</v>
      </c>
      <c r="L9" s="236">
        <v>25.5</v>
      </c>
      <c r="M9" s="236">
        <v>27</v>
      </c>
      <c r="N9" s="236">
        <v>35</v>
      </c>
      <c r="O9" s="236">
        <v>35</v>
      </c>
      <c r="P9" s="236">
        <v>35</v>
      </c>
      <c r="Q9" s="236">
        <v>35</v>
      </c>
    </row>
    <row r="10" spans="1:17" x14ac:dyDescent="0.2">
      <c r="A10" s="1"/>
      <c r="B10" s="194">
        <v>25</v>
      </c>
      <c r="C10" s="2">
        <v>42.86</v>
      </c>
      <c r="D10" s="192">
        <f t="shared" ref="D10:D12" si="0">ROUND(B10/C10%,2)</f>
        <v>58.33</v>
      </c>
      <c r="E10" s="1"/>
      <c r="F10" s="1"/>
      <c r="G10" s="235" t="s">
        <v>33</v>
      </c>
      <c r="H10" s="236">
        <v>90</v>
      </c>
      <c r="I10" s="236">
        <v>85.4</v>
      </c>
      <c r="J10" s="236">
        <v>60.85</v>
      </c>
      <c r="K10" s="236">
        <v>62.5</v>
      </c>
      <c r="L10" s="236">
        <v>43.33</v>
      </c>
      <c r="M10" s="236">
        <v>49</v>
      </c>
      <c r="N10" s="236">
        <v>51</v>
      </c>
      <c r="O10" s="236">
        <v>47.5</v>
      </c>
      <c r="P10" s="236">
        <v>70</v>
      </c>
      <c r="Q10" s="236">
        <v>50.75</v>
      </c>
    </row>
    <row r="11" spans="1:17" ht="13.5" thickBot="1" x14ac:dyDescent="0.25">
      <c r="A11" s="1"/>
      <c r="B11" s="194">
        <v>35</v>
      </c>
      <c r="C11" s="2">
        <v>58.33</v>
      </c>
      <c r="D11" s="192">
        <f t="shared" si="0"/>
        <v>60</v>
      </c>
      <c r="E11" s="1"/>
      <c r="F11" s="1"/>
      <c r="G11" s="235" t="s">
        <v>34</v>
      </c>
      <c r="H11" s="250">
        <v>124.75</v>
      </c>
      <c r="I11" s="250">
        <v>115.45</v>
      </c>
      <c r="J11" s="250">
        <v>90.01</v>
      </c>
      <c r="K11" s="250">
        <v>82.5</v>
      </c>
      <c r="L11" s="250">
        <v>68.33</v>
      </c>
      <c r="M11" s="250">
        <v>72.5</v>
      </c>
      <c r="N11" s="236">
        <v>62.67</v>
      </c>
      <c r="O11" s="236">
        <v>62.5</v>
      </c>
      <c r="P11" s="236">
        <v>100</v>
      </c>
      <c r="Q11" s="236">
        <v>84.5</v>
      </c>
    </row>
    <row r="12" spans="1:17" ht="14.25" thickTop="1" thickBot="1" x14ac:dyDescent="0.25">
      <c r="A12" s="1"/>
      <c r="B12" s="244">
        <v>45</v>
      </c>
      <c r="C12" s="4">
        <v>75</v>
      </c>
      <c r="D12" s="245">
        <f t="shared" si="0"/>
        <v>60</v>
      </c>
      <c r="E12" s="1"/>
      <c r="F12" s="1"/>
      <c r="G12" s="247" t="s">
        <v>35</v>
      </c>
      <c r="H12" s="251">
        <v>115.45</v>
      </c>
      <c r="I12" s="252">
        <f>ROUND(H12*I19%,2)+H12</f>
        <v>106.85000000000001</v>
      </c>
      <c r="J12" s="252">
        <f>ROUND(I12*J19%,2)+I12</f>
        <v>83.300000000000011</v>
      </c>
      <c r="K12" s="252">
        <f>ROUND(J12*K19%,2)+J12</f>
        <v>76.350000000000009</v>
      </c>
      <c r="L12" s="252">
        <f>ROUND(K12*L19%,2)+K12</f>
        <v>63.230000000000011</v>
      </c>
      <c r="M12" s="252">
        <f>ROUND(L12*M19%,2)+L12</f>
        <v>67.090000000000018</v>
      </c>
      <c r="N12" s="249">
        <v>82.67</v>
      </c>
      <c r="O12" s="236">
        <v>82.5</v>
      </c>
      <c r="P12" s="236">
        <v>130</v>
      </c>
      <c r="Q12" s="236">
        <v>113.35</v>
      </c>
    </row>
    <row r="13" spans="1:17" ht="14.25" thickTop="1" thickBot="1" x14ac:dyDescent="0.25">
      <c r="A13" s="1"/>
      <c r="B13" s="1"/>
      <c r="C13" s="1"/>
      <c r="D13" s="1"/>
      <c r="E13" s="1"/>
      <c r="F13" s="1"/>
      <c r="G13" s="248" t="s">
        <v>119</v>
      </c>
      <c r="H13" s="253">
        <v>0</v>
      </c>
      <c r="I13" s="254">
        <v>0</v>
      </c>
      <c r="J13" s="254">
        <v>0</v>
      </c>
      <c r="K13" s="254">
        <v>0</v>
      </c>
      <c r="L13" s="254">
        <v>0</v>
      </c>
      <c r="M13" s="255">
        <v>0</v>
      </c>
    </row>
    <row r="14" spans="1:17" ht="13.5" thickTop="1" x14ac:dyDescent="0.2">
      <c r="A14" s="1"/>
      <c r="B14" s="1"/>
      <c r="C14" s="1"/>
      <c r="D14" s="1"/>
      <c r="E14" s="1"/>
      <c r="F14" s="1"/>
    </row>
    <row r="15" spans="1:17" ht="15" x14ac:dyDescent="0.25">
      <c r="A15" s="1"/>
      <c r="B15" s="1"/>
      <c r="C15" s="1"/>
      <c r="D15" s="1"/>
      <c r="E15" s="1"/>
      <c r="F15" s="1"/>
      <c r="G15" s="237" t="s">
        <v>29</v>
      </c>
    </row>
    <row r="16" spans="1:17" ht="15" x14ac:dyDescent="0.2">
      <c r="A16" s="1"/>
      <c r="B16" s="1"/>
      <c r="C16" s="1"/>
      <c r="D16" s="1"/>
      <c r="E16" s="1"/>
      <c r="F16" s="1"/>
      <c r="G16" s="238" t="s">
        <v>106</v>
      </c>
      <c r="I16" s="239" t="s">
        <v>107</v>
      </c>
      <c r="J16" s="239" t="s">
        <v>108</v>
      </c>
      <c r="K16" s="239" t="s">
        <v>109</v>
      </c>
      <c r="L16" s="239" t="s">
        <v>110</v>
      </c>
      <c r="M16" s="239" t="s">
        <v>111</v>
      </c>
      <c r="N16" s="239" t="s">
        <v>112</v>
      </c>
      <c r="O16" s="239" t="s">
        <v>113</v>
      </c>
      <c r="P16" s="239" t="s">
        <v>114</v>
      </c>
      <c r="Q16" s="239" t="s">
        <v>115</v>
      </c>
    </row>
    <row r="17" spans="1:17" x14ac:dyDescent="0.2">
      <c r="A17" s="1"/>
      <c r="B17" s="1"/>
      <c r="C17" s="1"/>
      <c r="D17" s="1"/>
      <c r="E17" s="1"/>
      <c r="F17" s="1"/>
      <c r="G17" s="235" t="s">
        <v>32</v>
      </c>
      <c r="I17" s="240">
        <f t="shared" ref="I17:Q19" si="1">ROUND(I9/H9%,2)-100</f>
        <v>-36.4</v>
      </c>
      <c r="J17" s="240">
        <f t="shared" si="1"/>
        <v>26.75</v>
      </c>
      <c r="K17" s="240">
        <f t="shared" si="1"/>
        <v>-28.879999999999995</v>
      </c>
      <c r="L17" s="240">
        <f t="shared" si="1"/>
        <v>-30.439999999999998</v>
      </c>
      <c r="M17" s="240">
        <f t="shared" si="1"/>
        <v>5.8799999999999955</v>
      </c>
      <c r="N17" s="240">
        <f t="shared" si="1"/>
        <v>29.629999999999995</v>
      </c>
      <c r="O17" s="240">
        <f t="shared" si="1"/>
        <v>0</v>
      </c>
      <c r="P17" s="240">
        <f t="shared" si="1"/>
        <v>0</v>
      </c>
      <c r="Q17" s="240">
        <f t="shared" si="1"/>
        <v>0</v>
      </c>
    </row>
    <row r="18" spans="1:17" x14ac:dyDescent="0.2">
      <c r="A18" s="1"/>
      <c r="B18" s="1"/>
      <c r="C18" s="1"/>
      <c r="D18" s="1"/>
      <c r="E18" s="1"/>
      <c r="F18" s="1"/>
      <c r="G18" s="235" t="s">
        <v>33</v>
      </c>
      <c r="I18" s="240">
        <f t="shared" si="1"/>
        <v>-5.1099999999999994</v>
      </c>
      <c r="J18" s="240">
        <f t="shared" si="1"/>
        <v>-28.75</v>
      </c>
      <c r="K18" s="240">
        <f t="shared" si="1"/>
        <v>2.7099999999999937</v>
      </c>
      <c r="L18" s="240">
        <f t="shared" si="1"/>
        <v>-30.67</v>
      </c>
      <c r="M18" s="240">
        <f t="shared" si="1"/>
        <v>13.090000000000003</v>
      </c>
      <c r="N18" s="240">
        <f t="shared" si="1"/>
        <v>4.0799999999999983</v>
      </c>
      <c r="O18" s="240">
        <f t="shared" si="1"/>
        <v>-6.8599999999999994</v>
      </c>
      <c r="P18" s="240">
        <f t="shared" si="1"/>
        <v>47.370000000000005</v>
      </c>
      <c r="Q18" s="240">
        <f t="shared" si="1"/>
        <v>-27.5</v>
      </c>
    </row>
    <row r="19" spans="1:17" ht="13.5" thickBot="1" x14ac:dyDescent="0.25">
      <c r="A19" s="1"/>
      <c r="B19" s="1"/>
      <c r="C19" s="1"/>
      <c r="D19" s="1"/>
      <c r="E19" s="1"/>
      <c r="F19" s="1"/>
      <c r="G19" s="235" t="s">
        <v>34</v>
      </c>
      <c r="I19" s="257">
        <f t="shared" si="1"/>
        <v>-7.4500000000000028</v>
      </c>
      <c r="J19" s="257">
        <f t="shared" si="1"/>
        <v>-22.040000000000006</v>
      </c>
      <c r="K19" s="257">
        <f t="shared" si="1"/>
        <v>-8.3400000000000034</v>
      </c>
      <c r="L19" s="257">
        <f t="shared" si="1"/>
        <v>-17.180000000000007</v>
      </c>
      <c r="M19" s="257">
        <f t="shared" si="1"/>
        <v>6.0999999999999943</v>
      </c>
      <c r="N19" s="257">
        <f t="shared" si="1"/>
        <v>-13.560000000000002</v>
      </c>
      <c r="O19" s="240">
        <f t="shared" si="1"/>
        <v>-0.26999999999999602</v>
      </c>
      <c r="P19" s="240">
        <f t="shared" si="1"/>
        <v>60</v>
      </c>
      <c r="Q19" s="240">
        <f t="shared" si="1"/>
        <v>-15.5</v>
      </c>
    </row>
    <row r="20" spans="1:17" ht="13.5" thickTop="1" x14ac:dyDescent="0.2">
      <c r="A20" s="1"/>
      <c r="B20" s="1"/>
      <c r="C20" s="1"/>
      <c r="D20" s="1"/>
      <c r="E20" s="1"/>
      <c r="F20" s="1"/>
      <c r="G20" s="247" t="s">
        <v>35</v>
      </c>
      <c r="I20" s="258">
        <f>I19</f>
        <v>-7.4500000000000028</v>
      </c>
      <c r="J20" s="259">
        <f t="shared" ref="J20:N20" si="2">J19</f>
        <v>-22.040000000000006</v>
      </c>
      <c r="K20" s="259">
        <f t="shared" si="2"/>
        <v>-8.3400000000000034</v>
      </c>
      <c r="L20" s="259">
        <f t="shared" si="2"/>
        <v>-17.180000000000007</v>
      </c>
      <c r="M20" s="259">
        <f t="shared" si="2"/>
        <v>6.0999999999999943</v>
      </c>
      <c r="N20" s="260">
        <f t="shared" si="2"/>
        <v>-13.560000000000002</v>
      </c>
      <c r="O20" s="256">
        <f>ROUND(O12/N12%,2)-100</f>
        <v>-0.20999999999999375</v>
      </c>
      <c r="P20" s="240">
        <f>ROUND(P12/O12%,2)-100</f>
        <v>57.580000000000013</v>
      </c>
      <c r="Q20" s="240">
        <f>ROUND(Q12/P12%,2)-100</f>
        <v>-12.810000000000002</v>
      </c>
    </row>
    <row r="21" spans="1:17" x14ac:dyDescent="0.2">
      <c r="A21" s="1"/>
      <c r="B21" s="1"/>
      <c r="C21" s="1"/>
      <c r="D21" s="1"/>
      <c r="E21" s="1"/>
      <c r="F21" s="1"/>
      <c r="G21" s="248" t="s">
        <v>120</v>
      </c>
      <c r="I21" s="262"/>
      <c r="J21" s="175"/>
      <c r="K21" s="175"/>
      <c r="L21" s="175"/>
      <c r="M21" s="175"/>
      <c r="N21" s="263"/>
    </row>
    <row r="22" spans="1:17" x14ac:dyDescent="0.2">
      <c r="A22" s="1"/>
      <c r="B22" s="1"/>
      <c r="C22" s="1"/>
      <c r="D22" s="1"/>
      <c r="E22" s="261"/>
      <c r="F22" s="261"/>
      <c r="G22" s="269"/>
      <c r="H22" s="54"/>
      <c r="I22" s="142"/>
      <c r="J22" s="142"/>
      <c r="K22" s="142"/>
      <c r="L22" s="142"/>
      <c r="M22" s="142"/>
      <c r="N22" s="142"/>
    </row>
    <row r="23" spans="1:17" ht="13.5" thickBot="1" x14ac:dyDescent="0.25">
      <c r="L23" s="1"/>
    </row>
    <row r="24" spans="1:17" ht="14.25" thickTop="1" thickBot="1" x14ac:dyDescent="0.25">
      <c r="H24" s="273" t="s">
        <v>124</v>
      </c>
      <c r="I24" s="274"/>
      <c r="J24" s="274"/>
      <c r="K24" s="274"/>
      <c r="L24" s="274"/>
      <c r="M24" s="274"/>
      <c r="N24" s="274"/>
      <c r="O24" s="274"/>
      <c r="P24" s="274"/>
      <c r="Q24" s="275"/>
    </row>
    <row r="25" spans="1:17" ht="13.5" thickTop="1" x14ac:dyDescent="0.2">
      <c r="B25" s="129" t="s">
        <v>116</v>
      </c>
      <c r="C25" s="241" t="s">
        <v>117</v>
      </c>
      <c r="D25" s="242" t="s">
        <v>118</v>
      </c>
      <c r="H25" s="277" t="s">
        <v>121</v>
      </c>
      <c r="I25" s="265">
        <v>38961</v>
      </c>
      <c r="J25" s="265">
        <v>39326</v>
      </c>
      <c r="K25" s="265">
        <v>39692</v>
      </c>
      <c r="L25" s="265">
        <v>40422</v>
      </c>
      <c r="M25" s="265">
        <v>40787</v>
      </c>
      <c r="N25" s="265">
        <v>41153</v>
      </c>
      <c r="O25" s="265">
        <v>41518</v>
      </c>
      <c r="P25" s="265">
        <v>41913</v>
      </c>
      <c r="Q25" s="266">
        <v>42278</v>
      </c>
    </row>
    <row r="26" spans="1:17" x14ac:dyDescent="0.2">
      <c r="B26" s="194">
        <f>ROUND(C26*D26%,2)</f>
        <v>25.58</v>
      </c>
      <c r="C26" s="243">
        <v>63.95</v>
      </c>
      <c r="D26" s="192">
        <v>40</v>
      </c>
      <c r="H26" s="278">
        <v>25.58</v>
      </c>
      <c r="I26" s="165">
        <f>IF(ROUND(H26*I17%,2)+H26&lt;H26,H26,ROUND(H26*I17%,2)+H26)</f>
        <v>25.58</v>
      </c>
      <c r="J26" s="165">
        <f>IF(ROUND(I32*J17%,2)+I32&lt;H26,H26,ROUND(I32*J17%,2)+I32)</f>
        <v>32.42</v>
      </c>
      <c r="K26" s="165">
        <f>IF(ROUND(J32*K17%,2)+J32&lt;H26,H26,ROUND(J32*K17%,2)+J32)</f>
        <v>25.58</v>
      </c>
      <c r="L26" s="165">
        <f>IF(ROUND(K32*L17%,2)+K32&lt;H26,H26,ROUND(K32*L17%,2)+K32)</f>
        <v>25.58</v>
      </c>
      <c r="M26" s="165">
        <f>IF(ROUND(L32*M17%,2)+L32&lt;H26,H26,ROUND(L32*M17%,2)+L32)</f>
        <v>27</v>
      </c>
      <c r="N26" s="165">
        <f>IF(ROUND(M32*N17%,2)+M32&lt;H26,H26,ROUND(M32*N17%,2)+M32)</f>
        <v>35</v>
      </c>
      <c r="O26" s="165">
        <f>IF(ROUND(N32*O17%,2)+N32&lt;H26,H26,ROUND(N32*O17%,2)+N32)</f>
        <v>35</v>
      </c>
      <c r="P26" s="165">
        <f>IF(ROUND(O32*P17%,2)+O32&lt;H26,H26,ROUND(O32*P17%,2)+O32)</f>
        <v>35</v>
      </c>
      <c r="Q26" s="166">
        <f>IF(ROUND(P32*Q17%,2)+P32&lt;H26,H26,ROUND(P32*Q17%,2)+P32)</f>
        <v>35</v>
      </c>
    </row>
    <row r="27" spans="1:17" x14ac:dyDescent="0.2">
      <c r="B27" s="194">
        <f t="shared" ref="B27:B28" si="3">ROUND(C27*D27%,2)</f>
        <v>52.5</v>
      </c>
      <c r="C27" s="243">
        <v>90</v>
      </c>
      <c r="D27" s="192">
        <v>58.33</v>
      </c>
      <c r="H27" s="278">
        <v>52.5</v>
      </c>
      <c r="I27" s="165">
        <f>IF(ROUND(H27*I18%,2)+H27&lt;H27,H27,ROUND(H27*I18%,2)+H27)</f>
        <v>52.5</v>
      </c>
      <c r="J27" s="165">
        <f>IF(ROUND(I33*J18%,2)+I33&lt;H27,H27,ROUND(I33*J18%,2)+I33)</f>
        <v>52.5</v>
      </c>
      <c r="K27" s="165">
        <f>IF(ROUND(J33*K18%,2)+J33&lt;H27,H27,ROUND(J33*K18%,2)+J33)</f>
        <v>53.92</v>
      </c>
      <c r="L27" s="165">
        <f>IF(ROUND(K33*L18%,2)+K33&lt;H27,H27,ROUND(K33*L18%,2)+K33)</f>
        <v>52.5</v>
      </c>
      <c r="M27" s="165">
        <f>IF(ROUND(L33*M18%,2)+L33&lt;H27,H27,ROUND(L33*M18%,2)+L33)</f>
        <v>52.5</v>
      </c>
      <c r="N27" s="165">
        <f>IF(ROUND(M33*N18%,2)+M33&lt;H27,H27,ROUND(M33*N18%,2)+M33)</f>
        <v>52.5</v>
      </c>
      <c r="O27" s="165">
        <f>IF(ROUND(N33*O18%,2)+N33&lt;H27,H27,ROUND(N33*O18%,2)+N33)</f>
        <v>52.5</v>
      </c>
      <c r="P27" s="165">
        <f>IF(ROUND(O33*P18%,2)+O33&lt;H27,H27,ROUND(O33*P18%,2)+O33)</f>
        <v>70</v>
      </c>
      <c r="Q27" s="166">
        <f>IF(ROUND(P33*Q18%,2)+P33&lt;H27,H27,ROUND(P33*Q18%,2)+P33)</f>
        <v>52.5</v>
      </c>
    </row>
    <row r="28" spans="1:17" x14ac:dyDescent="0.2">
      <c r="B28" s="194">
        <f t="shared" si="3"/>
        <v>74.849999999999994</v>
      </c>
      <c r="C28" s="243">
        <v>124.75</v>
      </c>
      <c r="D28" s="192">
        <v>60</v>
      </c>
      <c r="H28" s="278">
        <v>74.849999999999994</v>
      </c>
      <c r="I28" s="165">
        <f>IF(ROUND(H28*I19%,2)+H28&lt;H28,H28,ROUND(H28*I19%,2)+H28)</f>
        <v>74.849999999999994</v>
      </c>
      <c r="J28" s="165">
        <f>IF(ROUND(I34*J19%,2)+I34&lt;H28,H28,ROUND(I34*J19%,2)+I34)</f>
        <v>74.849999999999994</v>
      </c>
      <c r="K28" s="165">
        <f>IF(ROUND(J34*K19%,2)+J34&lt;H28,H28,ROUND(J34*K19%,2)+J34)</f>
        <v>74.849999999999994</v>
      </c>
      <c r="L28" s="165">
        <f>IF(ROUND(K34*L19%,2)+K34&lt;H28,H28,ROUND(K34*L19%,2)+K34)</f>
        <v>74.849999999999994</v>
      </c>
      <c r="M28" s="165">
        <f>IF(ROUND(L34*M19%,2)+L34&lt;H28,H28,ROUND(L34*M19%,2)+L34)</f>
        <v>74.849999999999994</v>
      </c>
      <c r="N28" s="165">
        <f>IF(ROUND(M34*N19%,2)+M34&lt;H28,H28,ROUND(M34*N19%,2)+M34)</f>
        <v>74.849999999999994</v>
      </c>
      <c r="O28" s="165">
        <f>IF(ROUND(N34*O19%,2)+N34&lt;H28,H28,ROUND(N34*O19%,2)+N34)</f>
        <v>74.849999999999994</v>
      </c>
      <c r="P28" s="165">
        <f>IF(ROUND(O34*P19%,2)+O34&lt;H28,H28,ROUND(O34*P19%,2)+O34)</f>
        <v>100</v>
      </c>
      <c r="Q28" s="166">
        <f>IF(ROUND(P34*Q19%,2)+P34&lt;H28,H28,ROUND(P34*Q19%,2)+P34)</f>
        <v>84.5</v>
      </c>
    </row>
    <row r="29" spans="1:17" ht="13.5" thickBot="1" x14ac:dyDescent="0.25">
      <c r="B29" s="5">
        <f>ROUND(C29*D29%,2)</f>
        <v>69.27</v>
      </c>
      <c r="C29" s="246">
        <v>115.45</v>
      </c>
      <c r="D29" s="169">
        <v>60</v>
      </c>
      <c r="H29" s="279">
        <v>69.27</v>
      </c>
      <c r="I29" s="168">
        <f>IF(ROUND(H29*I20%,2)+H29&lt;H29,H29,ROUND(H29*I20%,2)+H29)</f>
        <v>69.27</v>
      </c>
      <c r="J29" s="168">
        <f>IF(ROUND(I35*J20%,2)+I35&lt;H29,H29,ROUND(I35*J20%,2)+I35)</f>
        <v>69.27</v>
      </c>
      <c r="K29" s="168">
        <f>IF(ROUND(J35*K20%,2)+J35&lt;H29,H29,ROUND(J35*K20%,2)+J35)</f>
        <v>69.27</v>
      </c>
      <c r="L29" s="168">
        <f>IF(ROUND(K35*L20%,2)+K35&lt;H29,H29,ROUND(K35*L20%,2)+K35)</f>
        <v>69.27</v>
      </c>
      <c r="M29" s="168">
        <f>IF(ROUND(L35*M20%,2)+L35&lt;H29,H29,ROUND(L35*M20%,2)+L35)</f>
        <v>69.27</v>
      </c>
      <c r="N29" s="168">
        <f>IF(ROUND(M35*N20%,2)+M35&lt;H29,H29,ROUND(M35*N20%,2)+M35)</f>
        <v>69.27</v>
      </c>
      <c r="O29" s="168">
        <f>IF(ROUND(N35*O20%,2)+N35&lt;H29,H29,ROUND(N35*O20%,2)+N35)</f>
        <v>69.27</v>
      </c>
      <c r="P29" s="168">
        <f>IF(ROUND(O35*P20%,2)+O35&lt;H29,H29,ROUND(O35*P20%,2)+O35)</f>
        <v>109.16</v>
      </c>
      <c r="Q29" s="169">
        <f>IF(ROUND(P35*Q20%,2)+P35&lt;H29,H29,ROUND(P35*Q20%,2)+P35)</f>
        <v>95.179999999999993</v>
      </c>
    </row>
    <row r="30" spans="1:17" ht="14.25" thickTop="1" thickBot="1" x14ac:dyDescent="0.25">
      <c r="H30" s="280" t="s">
        <v>125</v>
      </c>
      <c r="I30" s="6"/>
      <c r="J30" s="6"/>
      <c r="K30" s="6"/>
      <c r="L30" s="6"/>
      <c r="M30" s="6"/>
      <c r="N30" s="6"/>
      <c r="O30" s="6"/>
      <c r="P30" s="6"/>
      <c r="Q30" s="276"/>
    </row>
    <row r="31" spans="1:17" ht="13.5" thickTop="1" x14ac:dyDescent="0.2">
      <c r="H31" s="277" t="s">
        <v>121</v>
      </c>
      <c r="I31" s="265">
        <v>38961</v>
      </c>
      <c r="J31" s="265">
        <v>39326</v>
      </c>
      <c r="K31" s="265">
        <v>39692</v>
      </c>
      <c r="L31" s="265">
        <v>40422</v>
      </c>
      <c r="M31" s="265">
        <v>40787</v>
      </c>
      <c r="N31" s="265">
        <v>41153</v>
      </c>
      <c r="O31" s="265">
        <v>41518</v>
      </c>
      <c r="P31" s="265">
        <v>41913</v>
      </c>
      <c r="Q31" s="266">
        <v>42278</v>
      </c>
    </row>
    <row r="32" spans="1:17" x14ac:dyDescent="0.2">
      <c r="H32" s="278">
        <v>25.58</v>
      </c>
      <c r="I32" s="165">
        <f t="shared" ref="I32:Q32" si="4">IF(I26&gt;I9,I9,I26)</f>
        <v>25.58</v>
      </c>
      <c r="J32" s="165">
        <f t="shared" si="4"/>
        <v>32.42</v>
      </c>
      <c r="K32" s="165">
        <f t="shared" si="4"/>
        <v>25.58</v>
      </c>
      <c r="L32" s="165">
        <f t="shared" si="4"/>
        <v>25.5</v>
      </c>
      <c r="M32" s="165">
        <f t="shared" si="4"/>
        <v>27</v>
      </c>
      <c r="N32" s="165">
        <f t="shared" si="4"/>
        <v>35</v>
      </c>
      <c r="O32" s="165">
        <f t="shared" si="4"/>
        <v>35</v>
      </c>
      <c r="P32" s="165">
        <f t="shared" si="4"/>
        <v>35</v>
      </c>
      <c r="Q32" s="166">
        <f t="shared" si="4"/>
        <v>35</v>
      </c>
    </row>
    <row r="33" spans="1:19" x14ac:dyDescent="0.2">
      <c r="H33" s="278">
        <v>52.5</v>
      </c>
      <c r="I33" s="165">
        <f t="shared" ref="I33:Q33" si="5">IF(I27&gt;I10,I10,I27)</f>
        <v>52.5</v>
      </c>
      <c r="J33" s="165">
        <f t="shared" si="5"/>
        <v>52.5</v>
      </c>
      <c r="K33" s="165">
        <f t="shared" si="5"/>
        <v>53.92</v>
      </c>
      <c r="L33" s="165">
        <f t="shared" si="5"/>
        <v>43.33</v>
      </c>
      <c r="M33" s="165">
        <f t="shared" si="5"/>
        <v>49</v>
      </c>
      <c r="N33" s="165">
        <f t="shared" si="5"/>
        <v>51</v>
      </c>
      <c r="O33" s="165">
        <f t="shared" si="5"/>
        <v>47.5</v>
      </c>
      <c r="P33" s="165">
        <f t="shared" si="5"/>
        <v>70</v>
      </c>
      <c r="Q33" s="166">
        <f t="shared" si="5"/>
        <v>50.75</v>
      </c>
    </row>
    <row r="34" spans="1:19" x14ac:dyDescent="0.2">
      <c r="H34" s="278">
        <v>74.849999999999994</v>
      </c>
      <c r="I34" s="165">
        <f t="shared" ref="I34:Q34" si="6">IF(I28&gt;I11,I11,I28)</f>
        <v>74.849999999999994</v>
      </c>
      <c r="J34" s="165">
        <f t="shared" si="6"/>
        <v>74.849999999999994</v>
      </c>
      <c r="K34" s="165">
        <f t="shared" si="6"/>
        <v>74.849999999999994</v>
      </c>
      <c r="L34" s="165">
        <f t="shared" si="6"/>
        <v>68.33</v>
      </c>
      <c r="M34" s="165">
        <f t="shared" si="6"/>
        <v>72.5</v>
      </c>
      <c r="N34" s="165">
        <f t="shared" si="6"/>
        <v>62.67</v>
      </c>
      <c r="O34" s="165">
        <f t="shared" si="6"/>
        <v>62.5</v>
      </c>
      <c r="P34" s="165">
        <f t="shared" si="6"/>
        <v>100</v>
      </c>
      <c r="Q34" s="166">
        <f t="shared" si="6"/>
        <v>84.5</v>
      </c>
    </row>
    <row r="35" spans="1:19" ht="13.5" thickBot="1" x14ac:dyDescent="0.25">
      <c r="H35" s="279">
        <v>69.27</v>
      </c>
      <c r="I35" s="168">
        <f t="shared" ref="I35:Q35" si="7">IF(I29&gt;I12,I12,I29)</f>
        <v>69.27</v>
      </c>
      <c r="J35" s="168">
        <f t="shared" si="7"/>
        <v>69.27</v>
      </c>
      <c r="K35" s="168">
        <f t="shared" si="7"/>
        <v>69.27</v>
      </c>
      <c r="L35" s="168">
        <f t="shared" si="7"/>
        <v>63.230000000000011</v>
      </c>
      <c r="M35" s="168">
        <f t="shared" si="7"/>
        <v>67.090000000000018</v>
      </c>
      <c r="N35" s="168">
        <f t="shared" si="7"/>
        <v>69.27</v>
      </c>
      <c r="O35" s="168">
        <f t="shared" si="7"/>
        <v>69.27</v>
      </c>
      <c r="P35" s="168">
        <f t="shared" si="7"/>
        <v>109.16</v>
      </c>
      <c r="Q35" s="169">
        <f t="shared" si="7"/>
        <v>95.179999999999993</v>
      </c>
    </row>
    <row r="36" spans="1:19" ht="13.5" thickTop="1" x14ac:dyDescent="0.2"/>
    <row r="39" spans="1:19" x14ac:dyDescent="0.2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</row>
    <row r="40" spans="1:19" x14ac:dyDescent="0.2">
      <c r="A40" s="7" t="s">
        <v>129</v>
      </c>
    </row>
    <row r="42" spans="1:19" ht="13.5" thickBot="1" x14ac:dyDescent="0.25">
      <c r="I42" s="287" t="s">
        <v>129</v>
      </c>
      <c r="J42">
        <v>22</v>
      </c>
    </row>
    <row r="43" spans="1:19" ht="30.75" thickTop="1" x14ac:dyDescent="0.2">
      <c r="B43" s="129" t="s">
        <v>116</v>
      </c>
      <c r="C43" s="241" t="s">
        <v>117</v>
      </c>
      <c r="D43" s="242" t="s">
        <v>118</v>
      </c>
      <c r="G43" s="233" t="s">
        <v>105</v>
      </c>
      <c r="H43" s="234">
        <v>38231</v>
      </c>
      <c r="I43" s="234">
        <v>38961</v>
      </c>
      <c r="J43" s="234">
        <v>39326</v>
      </c>
      <c r="K43" s="234">
        <v>39692</v>
      </c>
      <c r="L43" s="234">
        <v>40422</v>
      </c>
      <c r="M43" s="234">
        <v>40787</v>
      </c>
      <c r="N43" s="234">
        <v>41153</v>
      </c>
      <c r="O43" s="234">
        <v>41548</v>
      </c>
      <c r="P43" s="234">
        <v>41913</v>
      </c>
      <c r="Q43" s="234">
        <v>42278</v>
      </c>
    </row>
    <row r="44" spans="1:19" x14ac:dyDescent="0.2">
      <c r="A44" s="1"/>
      <c r="B44" s="194">
        <v>10</v>
      </c>
      <c r="C44" s="2">
        <v>25</v>
      </c>
      <c r="D44" s="192">
        <f>ROUND(B44/C44%,2)</f>
        <v>40</v>
      </c>
      <c r="E44" s="1"/>
      <c r="F44" s="1"/>
      <c r="G44" s="235" t="s">
        <v>32</v>
      </c>
      <c r="H44" s="236">
        <v>63.95</v>
      </c>
      <c r="I44" s="285">
        <v>128</v>
      </c>
      <c r="J44" s="285">
        <v>22</v>
      </c>
      <c r="K44" s="285">
        <v>110</v>
      </c>
      <c r="L44" s="285">
        <v>22</v>
      </c>
      <c r="M44" s="285">
        <v>200</v>
      </c>
      <c r="N44" s="236">
        <v>35</v>
      </c>
      <c r="O44" s="236">
        <v>35</v>
      </c>
      <c r="P44" s="236">
        <v>35</v>
      </c>
      <c r="Q44" s="236">
        <v>35</v>
      </c>
    </row>
    <row r="45" spans="1:19" x14ac:dyDescent="0.2">
      <c r="A45" s="1"/>
      <c r="B45" s="194">
        <v>25</v>
      </c>
      <c r="C45" s="2">
        <v>42.86</v>
      </c>
      <c r="D45" s="192">
        <f t="shared" ref="D45:D47" si="8">ROUND(B45/C45%,2)</f>
        <v>58.33</v>
      </c>
      <c r="E45" s="1"/>
      <c r="F45" s="1"/>
      <c r="G45" s="235" t="s">
        <v>33</v>
      </c>
      <c r="H45" s="236">
        <v>90</v>
      </c>
      <c r="I45" s="236">
        <v>85.4</v>
      </c>
      <c r="J45" s="236">
        <v>60.85</v>
      </c>
      <c r="K45" s="236">
        <v>62.5</v>
      </c>
      <c r="L45" s="236">
        <v>43.33</v>
      </c>
      <c r="M45" s="236">
        <v>49</v>
      </c>
      <c r="N45" s="236">
        <v>51</v>
      </c>
      <c r="O45" s="236">
        <v>47.5</v>
      </c>
      <c r="P45" s="236">
        <v>70</v>
      </c>
      <c r="Q45" s="236">
        <v>50.75</v>
      </c>
    </row>
    <row r="46" spans="1:19" ht="13.5" thickBot="1" x14ac:dyDescent="0.25">
      <c r="A46" s="1"/>
      <c r="B46" s="194">
        <v>35</v>
      </c>
      <c r="C46" s="2">
        <v>58.33</v>
      </c>
      <c r="D46" s="192">
        <f t="shared" si="8"/>
        <v>60</v>
      </c>
      <c r="E46" s="1"/>
      <c r="F46" s="1"/>
      <c r="G46" s="235" t="s">
        <v>34</v>
      </c>
      <c r="H46" s="250">
        <v>124.75</v>
      </c>
      <c r="I46" s="250">
        <v>115.45</v>
      </c>
      <c r="J46" s="250">
        <v>90.01</v>
      </c>
      <c r="K46" s="250">
        <v>82.5</v>
      </c>
      <c r="L46" s="250">
        <v>68.33</v>
      </c>
      <c r="M46" s="250">
        <v>72.5</v>
      </c>
      <c r="N46" s="236">
        <v>62.67</v>
      </c>
      <c r="O46" s="236">
        <v>62.5</v>
      </c>
      <c r="P46" s="236">
        <v>100</v>
      </c>
      <c r="Q46" s="236">
        <v>84.5</v>
      </c>
    </row>
    <row r="47" spans="1:19" ht="14.25" thickTop="1" thickBot="1" x14ac:dyDescent="0.25">
      <c r="A47" s="1"/>
      <c r="B47" s="244">
        <v>45</v>
      </c>
      <c r="C47" s="4">
        <v>75</v>
      </c>
      <c r="D47" s="245">
        <f t="shared" si="8"/>
        <v>60</v>
      </c>
      <c r="E47" s="1"/>
      <c r="F47" s="1"/>
      <c r="G47" s="247" t="s">
        <v>35</v>
      </c>
      <c r="H47" s="251">
        <v>115.45</v>
      </c>
      <c r="I47" s="252">
        <f>ROUND(H47*I54%,2)+H47</f>
        <v>106.85000000000001</v>
      </c>
      <c r="J47" s="252">
        <f>ROUND(I47*J54%,2)+I47</f>
        <v>83.300000000000011</v>
      </c>
      <c r="K47" s="252">
        <f>ROUND(J47*K54%,2)+J47</f>
        <v>76.350000000000009</v>
      </c>
      <c r="L47" s="252">
        <f>ROUND(K47*L54%,2)+K47</f>
        <v>63.230000000000011</v>
      </c>
      <c r="M47" s="252">
        <f>ROUND(L47*M54%,2)+L47</f>
        <v>67.090000000000018</v>
      </c>
      <c r="N47" s="249">
        <v>82.67</v>
      </c>
      <c r="O47" s="236">
        <v>82.5</v>
      </c>
      <c r="P47" s="236">
        <v>130</v>
      </c>
      <c r="Q47" s="236">
        <v>113.35</v>
      </c>
    </row>
    <row r="48" spans="1:19" ht="14.25" thickTop="1" thickBot="1" x14ac:dyDescent="0.25">
      <c r="A48" s="1"/>
      <c r="B48" s="1"/>
      <c r="C48" s="1"/>
      <c r="D48" s="1"/>
      <c r="E48" s="1"/>
      <c r="F48" s="1"/>
      <c r="G48" s="248" t="s">
        <v>119</v>
      </c>
      <c r="H48" s="253">
        <v>0</v>
      </c>
      <c r="I48" s="254">
        <v>0</v>
      </c>
      <c r="J48" s="254">
        <v>0</v>
      </c>
      <c r="K48" s="254">
        <v>0</v>
      </c>
      <c r="L48" s="254">
        <v>0</v>
      </c>
      <c r="M48" s="255">
        <v>0</v>
      </c>
    </row>
    <row r="49" spans="1:17" ht="13.5" thickTop="1" x14ac:dyDescent="0.2">
      <c r="A49" s="1"/>
      <c r="B49" s="1"/>
      <c r="C49" s="1"/>
      <c r="D49" s="1"/>
      <c r="E49" s="1"/>
      <c r="F49" s="1"/>
    </row>
    <row r="50" spans="1:17" ht="15" x14ac:dyDescent="0.25">
      <c r="A50" s="1"/>
      <c r="B50" s="1"/>
      <c r="C50" s="1"/>
      <c r="D50" s="1"/>
      <c r="E50" s="1"/>
      <c r="F50" s="1"/>
      <c r="G50" s="237" t="s">
        <v>29</v>
      </c>
    </row>
    <row r="51" spans="1:17" ht="15" x14ac:dyDescent="0.2">
      <c r="A51" s="1"/>
      <c r="B51" s="1"/>
      <c r="C51" s="1"/>
      <c r="D51" s="1"/>
      <c r="E51" s="1"/>
      <c r="F51" s="1"/>
      <c r="G51" s="238" t="s">
        <v>106</v>
      </c>
      <c r="I51" s="239" t="s">
        <v>107</v>
      </c>
      <c r="J51" s="239" t="s">
        <v>108</v>
      </c>
      <c r="K51" s="239" t="s">
        <v>109</v>
      </c>
      <c r="L51" s="239" t="s">
        <v>110</v>
      </c>
      <c r="M51" s="239" t="s">
        <v>111</v>
      </c>
      <c r="N51" s="239" t="s">
        <v>112</v>
      </c>
      <c r="O51" s="239" t="s">
        <v>113</v>
      </c>
      <c r="P51" s="239" t="s">
        <v>114</v>
      </c>
      <c r="Q51" s="239" t="s">
        <v>115</v>
      </c>
    </row>
    <row r="52" spans="1:17" x14ac:dyDescent="0.2">
      <c r="A52" s="1"/>
      <c r="B52" s="1"/>
      <c r="C52" s="1"/>
      <c r="D52" s="1"/>
      <c r="E52" s="1"/>
      <c r="F52" s="1"/>
      <c r="G52" s="235" t="s">
        <v>32</v>
      </c>
      <c r="I52" s="288">
        <f t="shared" ref="I52:I54" si="9">ROUND(I44/H44%,2)-100</f>
        <v>100.16</v>
      </c>
      <c r="J52" s="288">
        <f t="shared" ref="J52:J54" si="10">ROUND(J44/I44%,2)-100</f>
        <v>-82.81</v>
      </c>
      <c r="K52" s="288">
        <f t="shared" ref="K52:K54" si="11">ROUND(K44/J44%,2)-100</f>
        <v>400</v>
      </c>
      <c r="L52" s="288">
        <f t="shared" ref="L52:L54" si="12">ROUND(L44/K44%,2)-100</f>
        <v>-80</v>
      </c>
      <c r="M52" s="288">
        <f t="shared" ref="M52:M54" si="13">ROUND(M44/L44%,2)-100</f>
        <v>809.09</v>
      </c>
      <c r="N52" s="240">
        <f t="shared" ref="N52:N54" si="14">ROUND(N44/M44%,2)-100</f>
        <v>-82.5</v>
      </c>
      <c r="O52" s="240">
        <f t="shared" ref="O52:O54" si="15">ROUND(O44/N44%,2)-100</f>
        <v>0</v>
      </c>
      <c r="P52" s="240">
        <f t="shared" ref="P52:P54" si="16">ROUND(P44/O44%,2)-100</f>
        <v>0</v>
      </c>
      <c r="Q52" s="240">
        <f t="shared" ref="Q52:Q54" si="17">ROUND(Q44/P44%,2)-100</f>
        <v>0</v>
      </c>
    </row>
    <row r="53" spans="1:17" x14ac:dyDescent="0.2">
      <c r="A53" s="1"/>
      <c r="B53" s="1"/>
      <c r="C53" s="1"/>
      <c r="D53" s="1"/>
      <c r="E53" s="1"/>
      <c r="F53" s="1"/>
      <c r="G53" s="235" t="s">
        <v>33</v>
      </c>
      <c r="I53" s="240">
        <f t="shared" si="9"/>
        <v>-5.1099999999999994</v>
      </c>
      <c r="J53" s="240">
        <f t="shared" si="10"/>
        <v>-28.75</v>
      </c>
      <c r="K53" s="240">
        <f t="shared" si="11"/>
        <v>2.7099999999999937</v>
      </c>
      <c r="L53" s="240">
        <f t="shared" si="12"/>
        <v>-30.67</v>
      </c>
      <c r="M53" s="240">
        <f t="shared" si="13"/>
        <v>13.090000000000003</v>
      </c>
      <c r="N53" s="240">
        <f t="shared" si="14"/>
        <v>4.0799999999999983</v>
      </c>
      <c r="O53" s="240">
        <f t="shared" si="15"/>
        <v>-6.8599999999999994</v>
      </c>
      <c r="P53" s="240">
        <f t="shared" si="16"/>
        <v>47.370000000000005</v>
      </c>
      <c r="Q53" s="240">
        <f t="shared" si="17"/>
        <v>-27.5</v>
      </c>
    </row>
    <row r="54" spans="1:17" ht="13.5" thickBot="1" x14ac:dyDescent="0.25">
      <c r="A54" s="1"/>
      <c r="B54" s="1"/>
      <c r="C54" s="1"/>
      <c r="D54" s="1"/>
      <c r="E54" s="1"/>
      <c r="F54" s="1"/>
      <c r="G54" s="235" t="s">
        <v>34</v>
      </c>
      <c r="I54" s="257">
        <f t="shared" si="9"/>
        <v>-7.4500000000000028</v>
      </c>
      <c r="J54" s="257">
        <f t="shared" si="10"/>
        <v>-22.040000000000006</v>
      </c>
      <c r="K54" s="257">
        <f t="shared" si="11"/>
        <v>-8.3400000000000034</v>
      </c>
      <c r="L54" s="257">
        <f t="shared" si="12"/>
        <v>-17.180000000000007</v>
      </c>
      <c r="M54" s="257">
        <f t="shared" si="13"/>
        <v>6.0999999999999943</v>
      </c>
      <c r="N54" s="257">
        <f t="shared" si="14"/>
        <v>-13.560000000000002</v>
      </c>
      <c r="O54" s="240">
        <f t="shared" si="15"/>
        <v>-0.26999999999999602</v>
      </c>
      <c r="P54" s="240">
        <f t="shared" si="16"/>
        <v>60</v>
      </c>
      <c r="Q54" s="240">
        <f t="shared" si="17"/>
        <v>-15.5</v>
      </c>
    </row>
    <row r="55" spans="1:17" ht="13.5" thickTop="1" x14ac:dyDescent="0.2">
      <c r="A55" s="1"/>
      <c r="B55" s="1"/>
      <c r="C55" s="1"/>
      <c r="D55" s="1"/>
      <c r="E55" s="1"/>
      <c r="F55" s="1"/>
      <c r="G55" s="247" t="s">
        <v>35</v>
      </c>
      <c r="I55" s="258">
        <f>I54</f>
        <v>-7.4500000000000028</v>
      </c>
      <c r="J55" s="259">
        <f t="shared" ref="J55:N55" si="18">J54</f>
        <v>-22.040000000000006</v>
      </c>
      <c r="K55" s="259">
        <f t="shared" si="18"/>
        <v>-8.3400000000000034</v>
      </c>
      <c r="L55" s="259">
        <f t="shared" si="18"/>
        <v>-17.180000000000007</v>
      </c>
      <c r="M55" s="259">
        <f t="shared" si="18"/>
        <v>6.0999999999999943</v>
      </c>
      <c r="N55" s="260">
        <f t="shared" si="18"/>
        <v>-13.560000000000002</v>
      </c>
      <c r="O55" s="256">
        <f>ROUND(O47/N47%,2)-100</f>
        <v>-0.20999999999999375</v>
      </c>
      <c r="P55" s="240">
        <f>ROUND(P47/O47%,2)-100</f>
        <v>57.580000000000013</v>
      </c>
      <c r="Q55" s="240">
        <f>ROUND(Q47/P47%,2)-100</f>
        <v>-12.810000000000002</v>
      </c>
    </row>
    <row r="56" spans="1:17" x14ac:dyDescent="0.2">
      <c r="A56" s="1"/>
      <c r="B56" s="1"/>
      <c r="C56" s="1"/>
      <c r="D56" s="1"/>
      <c r="E56" s="1"/>
      <c r="F56" s="1"/>
      <c r="G56" s="248" t="s">
        <v>120</v>
      </c>
      <c r="I56" s="262"/>
      <c r="J56" s="175"/>
      <c r="K56" s="175"/>
      <c r="L56" s="175"/>
      <c r="M56" s="175"/>
      <c r="N56" s="263"/>
    </row>
    <row r="57" spans="1:17" x14ac:dyDescent="0.2">
      <c r="A57" s="1"/>
      <c r="B57" s="1"/>
      <c r="C57" s="1"/>
      <c r="D57" s="1"/>
      <c r="E57" s="261"/>
      <c r="F57" s="261"/>
      <c r="G57" s="269"/>
      <c r="H57" s="54"/>
      <c r="I57" s="142"/>
      <c r="J57" s="142"/>
      <c r="K57" s="142"/>
      <c r="L57" s="142"/>
      <c r="M57" s="142"/>
      <c r="N57" s="142"/>
    </row>
    <row r="58" spans="1:17" ht="13.5" thickBot="1" x14ac:dyDescent="0.25">
      <c r="L58" s="1"/>
    </row>
    <row r="59" spans="1:17" ht="14.25" thickTop="1" thickBot="1" x14ac:dyDescent="0.25">
      <c r="H59" s="273" t="s">
        <v>124</v>
      </c>
      <c r="I59" s="274"/>
      <c r="J59" s="274"/>
      <c r="K59" s="274"/>
      <c r="L59" s="274"/>
      <c r="M59" s="274"/>
      <c r="N59" s="274"/>
      <c r="O59" s="274"/>
      <c r="P59" s="274"/>
      <c r="Q59" s="275"/>
    </row>
    <row r="60" spans="1:17" ht="13.5" thickTop="1" x14ac:dyDescent="0.2">
      <c r="B60" s="129" t="s">
        <v>116</v>
      </c>
      <c r="C60" s="241" t="s">
        <v>117</v>
      </c>
      <c r="D60" s="242" t="s">
        <v>118</v>
      </c>
      <c r="H60" s="277" t="s">
        <v>121</v>
      </c>
      <c r="I60" s="265">
        <v>38961</v>
      </c>
      <c r="J60" s="265">
        <v>39326</v>
      </c>
      <c r="K60" s="265">
        <v>39692</v>
      </c>
      <c r="L60" s="265">
        <v>40422</v>
      </c>
      <c r="M60" s="265">
        <v>40787</v>
      </c>
      <c r="N60" s="265">
        <v>41153</v>
      </c>
      <c r="O60" s="265">
        <v>41518</v>
      </c>
      <c r="P60" s="265">
        <v>41913</v>
      </c>
      <c r="Q60" s="266">
        <v>42278</v>
      </c>
    </row>
    <row r="61" spans="1:17" x14ac:dyDescent="0.2">
      <c r="B61" s="194">
        <f>ROUND(C61*D61%,2)</f>
        <v>25.58</v>
      </c>
      <c r="C61" s="243">
        <v>63.95</v>
      </c>
      <c r="D61" s="192">
        <v>40</v>
      </c>
      <c r="H61" s="278">
        <v>25.58</v>
      </c>
      <c r="I61" s="165">
        <f>IF(ROUND(H61*I52%,2)+H61&lt;H61,H61,ROUND(H61*I52%,2)+H61)</f>
        <v>51.2</v>
      </c>
      <c r="J61" s="165">
        <f>IF(ROUND(I67*J52%,2)+I67&lt;H61,H61,ROUND(I67*J52%,2)+I67)</f>
        <v>25.58</v>
      </c>
      <c r="K61" s="165">
        <f>IF(ROUND(J67*K52%,2)+J67&lt;H61,H61,ROUND(J67*K52%,2)+J67)</f>
        <v>127.89999999999999</v>
      </c>
      <c r="L61" s="165">
        <f>IF(ROUND(K67*L52%,2)+K67&lt;H61,H61,ROUND(K67*L52%,2)+K67)</f>
        <v>25.58</v>
      </c>
      <c r="M61" s="165">
        <f>IF(ROUND(L67*M52%,2)+L67&lt;H61,H61,ROUND(L67*M52%,2)+L67)</f>
        <v>232.55</v>
      </c>
      <c r="N61" s="165">
        <f>IF(ROUND(M67*N52%,2)+M67&lt;H61,H61,ROUND(M67*N52%,2)+M67)</f>
        <v>35</v>
      </c>
      <c r="O61" s="165">
        <f>IF(ROUND(N67*O52%,2)+N67&lt;H61,H61,ROUND(N67*O52%,2)+N67)</f>
        <v>35</v>
      </c>
      <c r="P61" s="165">
        <f>IF(ROUND(O67*P52%,2)+O67&lt;H61,H61,ROUND(O67*P52%,2)+O67)</f>
        <v>35</v>
      </c>
      <c r="Q61" s="166">
        <f>IF(ROUND(P67*Q52%,2)+P67&lt;H61,H61,ROUND(P67*Q52%,2)+P67)</f>
        <v>35</v>
      </c>
    </row>
    <row r="62" spans="1:17" x14ac:dyDescent="0.2">
      <c r="B62" s="194">
        <f t="shared" ref="B62:B63" si="19">ROUND(C62*D62%,2)</f>
        <v>52.5</v>
      </c>
      <c r="C62" s="243">
        <v>90</v>
      </c>
      <c r="D62" s="192">
        <v>58.33</v>
      </c>
      <c r="H62" s="278">
        <v>52.5</v>
      </c>
      <c r="I62" s="165">
        <f>IF(ROUND(H62*I53%,2)+H62&lt;H62,H62,ROUND(H62*I53%,2)+H62)</f>
        <v>52.5</v>
      </c>
      <c r="J62" s="165">
        <f>IF(ROUND(I68*J53%,2)+I68&lt;H62,H62,ROUND(I68*J53%,2)+I68)</f>
        <v>52.5</v>
      </c>
      <c r="K62" s="165">
        <f>IF(ROUND(J68*K53%,2)+J68&lt;H62,H62,ROUND(J68*K53%,2)+J68)</f>
        <v>53.92</v>
      </c>
      <c r="L62" s="165">
        <f>IF(ROUND(K68*L53%,2)+K68&lt;H62,H62,ROUND(K68*L53%,2)+K68)</f>
        <v>52.5</v>
      </c>
      <c r="M62" s="165">
        <f>IF(ROUND(L68*M53%,2)+L68&lt;H62,H62,ROUND(L68*M53%,2)+L68)</f>
        <v>59.37</v>
      </c>
      <c r="N62" s="165">
        <f>IF(ROUND(M68*N53%,2)+M68&lt;H62,H62,ROUND(M68*N53%,2)+M68)</f>
        <v>52.5</v>
      </c>
      <c r="O62" s="165">
        <f>IF(ROUND(N68*O53%,2)+N68&lt;H62,H62,ROUND(N68*O53%,2)+N68)</f>
        <v>52.5</v>
      </c>
      <c r="P62" s="165">
        <f>IF(ROUND(O68*P53%,2)+O68&lt;H62,H62,ROUND(O68*P53%,2)+O68)</f>
        <v>77.37</v>
      </c>
      <c r="Q62" s="166">
        <f>IF(ROUND(P68*Q53%,2)+P68&lt;H62,H62,ROUND(P68*Q53%,2)+P68)</f>
        <v>52.5</v>
      </c>
    </row>
    <row r="63" spans="1:17" x14ac:dyDescent="0.2">
      <c r="B63" s="194">
        <f t="shared" si="19"/>
        <v>74.849999999999994</v>
      </c>
      <c r="C63" s="243">
        <v>124.75</v>
      </c>
      <c r="D63" s="192">
        <v>60</v>
      </c>
      <c r="H63" s="278">
        <v>74.849999999999994</v>
      </c>
      <c r="I63" s="165">
        <f>IF(ROUND(H63*I54%,2)+H63&lt;H63,H63,ROUND(H63*I54%,2)+H63)</f>
        <v>74.849999999999994</v>
      </c>
      <c r="J63" s="165">
        <f>IF(ROUND(I69*J54%,2)+I69&lt;H63,H63,ROUND(I69*J54%,2)+I69)</f>
        <v>74.849999999999994</v>
      </c>
      <c r="K63" s="165">
        <f>IF(ROUND(J69*K54%,2)+J69&lt;H63,H63,ROUND(J69*K54%,2)+J69)</f>
        <v>74.849999999999994</v>
      </c>
      <c r="L63" s="165">
        <f>IF(ROUND(K69*L54%,2)+K69&lt;H63,H63,ROUND(K69*L54%,2)+K69)</f>
        <v>74.849999999999994</v>
      </c>
      <c r="M63" s="165">
        <f>IF(ROUND(L69*M54%,2)+L69&lt;H63,H63,ROUND(L69*M54%,2)+L69)</f>
        <v>79.419999999999987</v>
      </c>
      <c r="N63" s="165">
        <f>IF(ROUND(M69*N54%,2)+M69&lt;H63,H63,ROUND(M69*N54%,2)+M69)</f>
        <v>74.849999999999994</v>
      </c>
      <c r="O63" s="165">
        <f>IF(ROUND(N69*O54%,2)+N69&lt;H63,H63,ROUND(N69*O54%,2)+N69)</f>
        <v>74.849999999999994</v>
      </c>
      <c r="P63" s="165">
        <f>IF(ROUND(O69*P54%,2)+O69&lt;H63,H63,ROUND(O69*P54%,2)+O69)</f>
        <v>119.75999999999999</v>
      </c>
      <c r="Q63" s="166">
        <f>IF(ROUND(P69*Q54%,2)+P69&lt;H63,H63,ROUND(P69*Q54%,2)+P69)</f>
        <v>84.5</v>
      </c>
    </row>
    <row r="64" spans="1:17" ht="13.5" thickBot="1" x14ac:dyDescent="0.25">
      <c r="B64" s="5">
        <f>ROUND(C64*D64%,2)</f>
        <v>69.27</v>
      </c>
      <c r="C64" s="246">
        <v>115.45</v>
      </c>
      <c r="D64" s="169">
        <v>60</v>
      </c>
      <c r="H64" s="279">
        <v>69.27</v>
      </c>
      <c r="I64" s="168">
        <f>IF(ROUND(H64*I55%,2)+H64&lt;H64,H64,ROUND(H64*I55%,2)+H64)</f>
        <v>69.27</v>
      </c>
      <c r="J64" s="168">
        <f>IF(ROUND(I70*J55%,2)+I70&lt;H64,H64,ROUND(I70*J55%,2)+I70)</f>
        <v>69.27</v>
      </c>
      <c r="K64" s="168">
        <f>IF(ROUND(J70*K55%,2)+J70&lt;H64,H64,ROUND(J70*K55%,2)+J70)</f>
        <v>69.27</v>
      </c>
      <c r="L64" s="168">
        <f>IF(ROUND(K70*L55%,2)+K70&lt;H64,H64,ROUND(K70*L55%,2)+K70)</f>
        <v>69.27</v>
      </c>
      <c r="M64" s="168">
        <f>IF(ROUND(L70*M55%,2)+L70&lt;H64,H64,ROUND(L70*M55%,2)+L70)</f>
        <v>73.5</v>
      </c>
      <c r="N64" s="168">
        <f>IF(ROUND(M70*N55%,2)+M70&lt;H64,H64,ROUND(M70*N55%,2)+M70)</f>
        <v>69.27</v>
      </c>
      <c r="O64" s="168">
        <f>IF(ROUND(N70*O55%,2)+N70&lt;H64,H64,ROUND(N70*O55%,2)+N70)</f>
        <v>69.27</v>
      </c>
      <c r="P64" s="168">
        <f>IF(ROUND(O70*P55%,2)+O70&lt;H64,H64,ROUND(O70*P55%,2)+O70)</f>
        <v>109.16</v>
      </c>
      <c r="Q64" s="169">
        <f>IF(ROUND(P70*Q55%,2)+P70&lt;H64,H64,ROUND(P70*Q55%,2)+P70)</f>
        <v>95.179999999999993</v>
      </c>
    </row>
    <row r="65" spans="8:17" ht="14.25" thickTop="1" thickBot="1" x14ac:dyDescent="0.25">
      <c r="H65" s="280" t="s">
        <v>125</v>
      </c>
      <c r="I65" s="6"/>
      <c r="J65" s="6"/>
      <c r="K65" s="6"/>
      <c r="L65" s="6"/>
      <c r="M65" s="6"/>
      <c r="N65" s="6"/>
      <c r="O65" s="6"/>
      <c r="P65" s="6"/>
      <c r="Q65" s="276"/>
    </row>
    <row r="66" spans="8:17" ht="13.5" thickTop="1" x14ac:dyDescent="0.2">
      <c r="H66" s="277" t="s">
        <v>121</v>
      </c>
      <c r="I66" s="265">
        <v>38961</v>
      </c>
      <c r="J66" s="265">
        <v>39326</v>
      </c>
      <c r="K66" s="265">
        <v>39692</v>
      </c>
      <c r="L66" s="265">
        <v>40422</v>
      </c>
      <c r="M66" s="265">
        <v>40787</v>
      </c>
      <c r="N66" s="265">
        <v>41153</v>
      </c>
      <c r="O66" s="265">
        <v>41518</v>
      </c>
      <c r="P66" s="265">
        <v>41913</v>
      </c>
      <c r="Q66" s="266">
        <v>42278</v>
      </c>
    </row>
    <row r="67" spans="8:17" x14ac:dyDescent="0.2">
      <c r="H67" s="278">
        <v>25.58</v>
      </c>
      <c r="I67" s="289">
        <f>IF(I61=H61,H61,IF(I61&gt;I44,I44,I61))</f>
        <v>51.2</v>
      </c>
      <c r="J67" s="289">
        <f>IF(J61=H61,H61,IF(J61&gt;J44,J44,J61))</f>
        <v>25.58</v>
      </c>
      <c r="K67" s="289">
        <f>IF(K61=H61,H61,IF(K61&gt;K44,K44,K61))</f>
        <v>110</v>
      </c>
      <c r="L67" s="289">
        <f>IF(L61=H61,H61,IF(L61&gt;L44,L44,L61))</f>
        <v>25.58</v>
      </c>
      <c r="M67" s="289">
        <f>IF(M61=H61,H61,IF(M61&gt;M44,M44,M61))</f>
        <v>200</v>
      </c>
      <c r="N67" s="165">
        <f>IF(N61=H61,H61,IF(N61&gt;N44,N44,N61))</f>
        <v>35</v>
      </c>
      <c r="O67" s="165">
        <f>IF(O61=H61,H61,IF(O61&gt;O44,O44,O61))</f>
        <v>35</v>
      </c>
      <c r="P67" s="165">
        <f>IF(P61=H61,H61,IF(P61&gt;P44,P44,P61))</f>
        <v>35</v>
      </c>
      <c r="Q67" s="166">
        <f>IF(Q61=H61,H61,IF(Q61&gt;Q44,Q44,Q61))</f>
        <v>35</v>
      </c>
    </row>
    <row r="68" spans="8:17" x14ac:dyDescent="0.2">
      <c r="H68" s="278">
        <v>52.5</v>
      </c>
      <c r="I68" s="165">
        <f>IF(I62=H62,H62,IF(I62&gt;I45,I45,I62))</f>
        <v>52.5</v>
      </c>
      <c r="J68" s="165">
        <f>IF(J62=H62,H62,IF(J62&gt;J45,J45,J62))</f>
        <v>52.5</v>
      </c>
      <c r="K68" s="165">
        <f>IF(K62=H62,H62,IF(K62&gt;K45,K45,K62))</f>
        <v>53.92</v>
      </c>
      <c r="L68" s="165">
        <f>IF(L62=H62,H62,IF(L62&gt;L45,L45,L62))</f>
        <v>52.5</v>
      </c>
      <c r="M68" s="165">
        <f>IF(M62=H62,H62,IF(M62&gt;M45,M45,M62))</f>
        <v>49</v>
      </c>
      <c r="N68" s="165">
        <f>IF(N62=H62,H62,IF(N62&gt;N45,N45,N62))</f>
        <v>52.5</v>
      </c>
      <c r="O68" s="165">
        <f>IF(O62=H62,H62,IF(O62&gt;O45,O45,O62))</f>
        <v>52.5</v>
      </c>
      <c r="P68" s="165">
        <f>IF(P62=H62,H62,IF(P62&gt;P45,P45,P62))</f>
        <v>70</v>
      </c>
      <c r="Q68" s="166">
        <f>IF(Q62=H62,H62,IF(Q62&gt;Q45,Q45,Q62))</f>
        <v>52.5</v>
      </c>
    </row>
    <row r="69" spans="8:17" x14ac:dyDescent="0.2">
      <c r="H69" s="278">
        <v>74.849999999999994</v>
      </c>
      <c r="I69" s="165">
        <f>IF(I63=H63,H63,IF(I63&gt;I46,I46,I63))</f>
        <v>74.849999999999994</v>
      </c>
      <c r="J69" s="165">
        <f>IF(J63=H63,H63,IF(J63&gt;J46,J46,J63))</f>
        <v>74.849999999999994</v>
      </c>
      <c r="K69" s="165">
        <f>IF(K63=H63,H63,IF(K63&gt;K46,K46,K63))</f>
        <v>74.849999999999994</v>
      </c>
      <c r="L69" s="165">
        <f>IF(L63=H63,H63,IF(L63&gt;L46,L46,L63))</f>
        <v>74.849999999999994</v>
      </c>
      <c r="M69" s="165">
        <f>IF(M63=H63,H63,IF(M63&gt;M46,M46,M63))</f>
        <v>72.5</v>
      </c>
      <c r="N69" s="165">
        <f>IF(N63=H63,H63,IF(N63&gt;N46,N46,N63))</f>
        <v>74.849999999999994</v>
      </c>
      <c r="O69" s="165">
        <f>IF(O63=H63,H63,IF(O63&gt;O46,O46,O63))</f>
        <v>74.849999999999994</v>
      </c>
      <c r="P69" s="165">
        <f>IF(P63=H63,H63,IF(P63&gt;P46,P46,P63))</f>
        <v>100</v>
      </c>
      <c r="Q69" s="166">
        <f>IF(Q63=H63,H63,IF(Q63&gt;Q46,Q46,Q63))</f>
        <v>84.5</v>
      </c>
    </row>
    <row r="70" spans="8:17" ht="13.5" thickBot="1" x14ac:dyDescent="0.25">
      <c r="H70" s="279">
        <v>69.27</v>
      </c>
      <c r="I70" s="168">
        <f>IF(I64=H64,H64,IF(I64&gt;I47,I47,I64))</f>
        <v>69.27</v>
      </c>
      <c r="J70" s="168">
        <f>IF(J64=H64,H64,IF(J64&gt;J47,J47,J64))</f>
        <v>69.27</v>
      </c>
      <c r="K70" s="168">
        <f>IF(K64=H64,H64,IF(K64&gt;K47,K47,K64))</f>
        <v>69.27</v>
      </c>
      <c r="L70" s="168">
        <f>IF(L64=H64,H64,IF(L64&gt;L47,L47,L64))</f>
        <v>69.27</v>
      </c>
      <c r="M70" s="168">
        <f>IF(M64=H64,H64,IF(M64&gt;M47,M47,M64))</f>
        <v>67.090000000000018</v>
      </c>
      <c r="N70" s="168">
        <f>IF(N64=H64,H64,IF(N64&gt;N47,N47,N64))</f>
        <v>69.27</v>
      </c>
      <c r="O70" s="168">
        <f>IF(O64=H64,H64,IF(O64&gt;O47,O47,O64))</f>
        <v>69.27</v>
      </c>
      <c r="P70" s="168">
        <f>IF(P64=H64,H64,IF(P64&gt;P47,P47,P64))</f>
        <v>109.16</v>
      </c>
      <c r="Q70" s="169">
        <f>IF(Q64=H64,H64,IF(Q64&gt;Q47,Q47,Q64))</f>
        <v>95.179999999999993</v>
      </c>
    </row>
    <row r="71" spans="8:17" ht="13.5" thickTop="1" x14ac:dyDescent="0.2"/>
    <row r="72" spans="8:17" x14ac:dyDescent="0.2">
      <c r="H72" s="7" t="s">
        <v>131</v>
      </c>
      <c r="I72" s="141">
        <f>ROUND(H67*I52%,2)+H67</f>
        <v>51.2</v>
      </c>
      <c r="J72" s="1">
        <f>ROUND(I67*J52%,2)+I67</f>
        <v>8.8000000000000043</v>
      </c>
      <c r="K72" s="286">
        <f>ROUND(J67*K52%,2)+J67</f>
        <v>127.89999999999999</v>
      </c>
      <c r="L72" s="286">
        <f t="shared" ref="L72:Q72" si="20">ROUND(K67*L52%,2)+K67</f>
        <v>22</v>
      </c>
      <c r="M72" s="286">
        <f t="shared" si="20"/>
        <v>232.55</v>
      </c>
      <c r="N72" s="286">
        <f t="shared" si="20"/>
        <v>35</v>
      </c>
      <c r="O72" s="286">
        <f t="shared" si="20"/>
        <v>35</v>
      </c>
      <c r="P72" s="286">
        <f t="shared" si="20"/>
        <v>35</v>
      </c>
      <c r="Q72" s="286">
        <f t="shared" si="20"/>
        <v>35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50"/>
  <sheetViews>
    <sheetView topLeftCell="G19" workbookViewId="0">
      <selection activeCell="H12" sqref="H12"/>
    </sheetView>
  </sheetViews>
  <sheetFormatPr defaultRowHeight="12.75" x14ac:dyDescent="0.2"/>
  <cols>
    <col min="7" max="7" width="50.5703125" bestFit="1" customWidth="1"/>
    <col min="8" max="13" width="14.140625" bestFit="1" customWidth="1"/>
    <col min="14" max="14" width="14.42578125" bestFit="1" customWidth="1"/>
    <col min="15" max="16" width="14.7109375" bestFit="1" customWidth="1"/>
    <col min="17" max="17" width="7.7109375" bestFit="1" customWidth="1"/>
  </cols>
  <sheetData>
    <row r="7" spans="1:17" ht="13.5" thickBot="1" x14ac:dyDescent="0.25"/>
    <row r="8" spans="1:17" ht="30.75" thickTop="1" x14ac:dyDescent="0.2">
      <c r="B8" s="129" t="s">
        <v>116</v>
      </c>
      <c r="C8" s="241" t="s">
        <v>117</v>
      </c>
      <c r="D8" s="242" t="s">
        <v>118</v>
      </c>
      <c r="G8" s="233" t="s">
        <v>105</v>
      </c>
      <c r="H8" s="234">
        <v>38231</v>
      </c>
      <c r="I8" s="234">
        <v>38961</v>
      </c>
      <c r="J8" s="234">
        <v>39326</v>
      </c>
      <c r="K8" s="234">
        <v>39692</v>
      </c>
      <c r="L8" s="234">
        <v>40422</v>
      </c>
      <c r="M8" s="234">
        <v>40787</v>
      </c>
      <c r="N8" s="234">
        <v>41153</v>
      </c>
      <c r="O8" s="234">
        <v>41548</v>
      </c>
      <c r="P8" s="234">
        <v>41913</v>
      </c>
      <c r="Q8" s="234">
        <v>42278</v>
      </c>
    </row>
    <row r="9" spans="1:17" x14ac:dyDescent="0.2">
      <c r="A9" s="1"/>
      <c r="B9" s="194">
        <v>10</v>
      </c>
      <c r="C9" s="2">
        <v>25</v>
      </c>
      <c r="D9" s="192">
        <f>ROUND(B9/C9%,2)</f>
        <v>40</v>
      </c>
      <c r="E9" s="1"/>
      <c r="F9" s="1"/>
      <c r="G9" s="235" t="s">
        <v>32</v>
      </c>
      <c r="H9" s="236">
        <v>63.95</v>
      </c>
      <c r="I9" s="236">
        <v>40.67</v>
      </c>
      <c r="J9" s="236">
        <v>51.55</v>
      </c>
      <c r="K9" s="236">
        <v>36.659999999999997</v>
      </c>
      <c r="L9" s="236">
        <v>25.5</v>
      </c>
      <c r="M9" s="236">
        <v>27</v>
      </c>
      <c r="N9" s="236">
        <v>35</v>
      </c>
      <c r="O9" s="236">
        <v>35</v>
      </c>
      <c r="P9" s="236">
        <v>35</v>
      </c>
      <c r="Q9" s="236">
        <v>35</v>
      </c>
    </row>
    <row r="10" spans="1:17" x14ac:dyDescent="0.2">
      <c r="A10" s="1"/>
      <c r="B10" s="194">
        <v>25</v>
      </c>
      <c r="C10" s="2">
        <v>42.86</v>
      </c>
      <c r="D10" s="192">
        <f t="shared" ref="D10:D12" si="0">ROUND(B10/C10%,2)</f>
        <v>58.33</v>
      </c>
      <c r="E10" s="1"/>
      <c r="F10" s="1"/>
      <c r="G10" s="235" t="s">
        <v>33</v>
      </c>
      <c r="H10" s="236">
        <v>90</v>
      </c>
      <c r="I10" s="236">
        <v>85.4</v>
      </c>
      <c r="J10" s="236">
        <v>60.85</v>
      </c>
      <c r="K10" s="236">
        <v>62.5</v>
      </c>
      <c r="L10" s="236">
        <v>43.33</v>
      </c>
      <c r="M10" s="236">
        <v>49</v>
      </c>
      <c r="N10" s="236">
        <v>51</v>
      </c>
      <c r="O10" s="236">
        <v>47.5</v>
      </c>
      <c r="P10" s="236">
        <v>70</v>
      </c>
      <c r="Q10" s="236">
        <v>50.75</v>
      </c>
    </row>
    <row r="11" spans="1:17" ht="13.5" thickBot="1" x14ac:dyDescent="0.25">
      <c r="A11" s="1"/>
      <c r="B11" s="194">
        <v>35</v>
      </c>
      <c r="C11" s="2">
        <v>58.33</v>
      </c>
      <c r="D11" s="192">
        <f t="shared" si="0"/>
        <v>60</v>
      </c>
      <c r="E11" s="1"/>
      <c r="F11" s="1"/>
      <c r="G11" s="235" t="s">
        <v>34</v>
      </c>
      <c r="H11" s="250">
        <v>124.75</v>
      </c>
      <c r="I11" s="250">
        <v>115.45</v>
      </c>
      <c r="J11" s="250">
        <v>90.01</v>
      </c>
      <c r="K11" s="250">
        <v>82.5</v>
      </c>
      <c r="L11" s="250">
        <v>68.33</v>
      </c>
      <c r="M11" s="250">
        <v>72.5</v>
      </c>
      <c r="N11" s="236">
        <v>62.67</v>
      </c>
      <c r="O11" s="236">
        <v>62.5</v>
      </c>
      <c r="P11" s="236">
        <v>100</v>
      </c>
      <c r="Q11" s="236">
        <v>84.5</v>
      </c>
    </row>
    <row r="12" spans="1:17" ht="14.25" thickTop="1" thickBot="1" x14ac:dyDescent="0.25">
      <c r="A12" s="1"/>
      <c r="B12" s="244">
        <v>45</v>
      </c>
      <c r="C12" s="4">
        <v>75</v>
      </c>
      <c r="D12" s="245">
        <f t="shared" si="0"/>
        <v>60</v>
      </c>
      <c r="E12" s="1"/>
      <c r="F12" s="1"/>
      <c r="G12" s="247" t="s">
        <v>35</v>
      </c>
      <c r="H12" s="251">
        <v>115.45</v>
      </c>
      <c r="I12" s="252">
        <f>ROUND(H12*I19%,2)+H12</f>
        <v>106.85000000000001</v>
      </c>
      <c r="J12" s="252">
        <f>ROUND(I12*J19%,2)+I12</f>
        <v>83.300000000000011</v>
      </c>
      <c r="K12" s="252">
        <f>ROUND(J12*K19%,2)+J12</f>
        <v>76.350000000000009</v>
      </c>
      <c r="L12" s="252">
        <f>ROUND(K12*L19%,2)+K12</f>
        <v>63.230000000000011</v>
      </c>
      <c r="M12" s="252">
        <f>ROUND(L12*M19%,2)+L12</f>
        <v>67.090000000000018</v>
      </c>
      <c r="N12" s="249">
        <v>82.67</v>
      </c>
      <c r="O12" s="236">
        <v>82.5</v>
      </c>
      <c r="P12" s="236">
        <v>130</v>
      </c>
      <c r="Q12" s="236">
        <v>113.35</v>
      </c>
    </row>
    <row r="13" spans="1:17" ht="14.25" thickTop="1" thickBot="1" x14ac:dyDescent="0.25">
      <c r="A13" s="1"/>
      <c r="B13" s="1"/>
      <c r="C13" s="1"/>
      <c r="D13" s="1"/>
      <c r="E13" s="1"/>
      <c r="F13" s="1"/>
      <c r="G13" s="248" t="s">
        <v>119</v>
      </c>
      <c r="H13" s="253">
        <v>0</v>
      </c>
      <c r="I13" s="254">
        <v>0</v>
      </c>
      <c r="J13" s="254">
        <v>0</v>
      </c>
      <c r="K13" s="254">
        <v>0</v>
      </c>
      <c r="L13" s="254">
        <v>0</v>
      </c>
      <c r="M13" s="255">
        <v>0</v>
      </c>
    </row>
    <row r="14" spans="1:17" ht="13.5" thickTop="1" x14ac:dyDescent="0.2">
      <c r="A14" s="1"/>
      <c r="B14" s="1"/>
      <c r="C14" s="1"/>
      <c r="D14" s="1"/>
      <c r="E14" s="1"/>
      <c r="F14" s="1"/>
    </row>
    <row r="15" spans="1:17" ht="15" x14ac:dyDescent="0.25">
      <c r="A15" s="1"/>
      <c r="B15" s="1"/>
      <c r="C15" s="1"/>
      <c r="D15" s="1"/>
      <c r="E15" s="1"/>
      <c r="F15" s="1"/>
      <c r="G15" s="237" t="s">
        <v>29</v>
      </c>
    </row>
    <row r="16" spans="1:17" ht="15" x14ac:dyDescent="0.2">
      <c r="A16" s="1"/>
      <c r="B16" s="1"/>
      <c r="C16" s="1"/>
      <c r="D16" s="1"/>
      <c r="E16" s="1"/>
      <c r="F16" s="1"/>
      <c r="G16" s="238" t="s">
        <v>106</v>
      </c>
      <c r="I16" s="239" t="s">
        <v>107</v>
      </c>
      <c r="J16" s="239" t="s">
        <v>108</v>
      </c>
      <c r="K16" s="239" t="s">
        <v>109</v>
      </c>
      <c r="L16" s="239" t="s">
        <v>110</v>
      </c>
      <c r="M16" s="239" t="s">
        <v>111</v>
      </c>
      <c r="N16" s="239" t="s">
        <v>112</v>
      </c>
      <c r="O16" s="239" t="s">
        <v>113</v>
      </c>
      <c r="P16" s="239" t="s">
        <v>114</v>
      </c>
      <c r="Q16" s="239" t="s">
        <v>115</v>
      </c>
    </row>
    <row r="17" spans="1:17" x14ac:dyDescent="0.2">
      <c r="A17" s="1"/>
      <c r="B17" s="1"/>
      <c r="C17" s="1"/>
      <c r="D17" s="1"/>
      <c r="E17" s="1"/>
      <c r="F17" s="1"/>
      <c r="G17" s="235" t="s">
        <v>32</v>
      </c>
      <c r="I17" s="240">
        <f t="shared" ref="I17:Q17" si="1">ROUND(I9/H9%,2)-100</f>
        <v>-36.4</v>
      </c>
      <c r="J17" s="240">
        <f t="shared" si="1"/>
        <v>26.75</v>
      </c>
      <c r="K17" s="240">
        <f t="shared" si="1"/>
        <v>-28.879999999999995</v>
      </c>
      <c r="L17" s="240">
        <f t="shared" si="1"/>
        <v>-30.439999999999998</v>
      </c>
      <c r="M17" s="240">
        <f t="shared" si="1"/>
        <v>5.8799999999999955</v>
      </c>
      <c r="N17" s="240">
        <f t="shared" si="1"/>
        <v>29.629999999999995</v>
      </c>
      <c r="O17" s="240">
        <f t="shared" si="1"/>
        <v>0</v>
      </c>
      <c r="P17" s="240">
        <f t="shared" si="1"/>
        <v>0</v>
      </c>
      <c r="Q17" s="240">
        <f t="shared" si="1"/>
        <v>0</v>
      </c>
    </row>
    <row r="18" spans="1:17" x14ac:dyDescent="0.2">
      <c r="A18" s="1"/>
      <c r="B18" s="1"/>
      <c r="C18" s="1"/>
      <c r="D18" s="1"/>
      <c r="E18" s="1"/>
      <c r="F18" s="1"/>
      <c r="G18" s="235" t="s">
        <v>33</v>
      </c>
      <c r="I18" s="240">
        <f t="shared" ref="I18:Q18" si="2">ROUND(I10/H10%,2)-100</f>
        <v>-5.1099999999999994</v>
      </c>
      <c r="J18" s="240">
        <f t="shared" si="2"/>
        <v>-28.75</v>
      </c>
      <c r="K18" s="240">
        <f t="shared" si="2"/>
        <v>2.7099999999999937</v>
      </c>
      <c r="L18" s="240">
        <f t="shared" si="2"/>
        <v>-30.67</v>
      </c>
      <c r="M18" s="240">
        <f t="shared" si="2"/>
        <v>13.090000000000003</v>
      </c>
      <c r="N18" s="240">
        <f t="shared" si="2"/>
        <v>4.0799999999999983</v>
      </c>
      <c r="O18" s="240">
        <f t="shared" si="2"/>
        <v>-6.8599999999999994</v>
      </c>
      <c r="P18" s="240">
        <f t="shared" si="2"/>
        <v>47.370000000000005</v>
      </c>
      <c r="Q18" s="240">
        <f t="shared" si="2"/>
        <v>-27.5</v>
      </c>
    </row>
    <row r="19" spans="1:17" ht="13.5" thickBot="1" x14ac:dyDescent="0.25">
      <c r="A19" s="1"/>
      <c r="B19" s="1"/>
      <c r="C19" s="1"/>
      <c r="D19" s="1"/>
      <c r="E19" s="1"/>
      <c r="F19" s="1"/>
      <c r="G19" s="235" t="s">
        <v>34</v>
      </c>
      <c r="I19" s="257">
        <f t="shared" ref="I19:Q19" si="3">ROUND(I11/H11%,2)-100</f>
        <v>-7.4500000000000028</v>
      </c>
      <c r="J19" s="257">
        <f t="shared" si="3"/>
        <v>-22.040000000000006</v>
      </c>
      <c r="K19" s="257">
        <f t="shared" si="3"/>
        <v>-8.3400000000000034</v>
      </c>
      <c r="L19" s="257">
        <f t="shared" si="3"/>
        <v>-17.180000000000007</v>
      </c>
      <c r="M19" s="257">
        <f t="shared" si="3"/>
        <v>6.0999999999999943</v>
      </c>
      <c r="N19" s="257">
        <f t="shared" si="3"/>
        <v>-13.560000000000002</v>
      </c>
      <c r="O19" s="240">
        <f t="shared" si="3"/>
        <v>-0.26999999999999602</v>
      </c>
      <c r="P19" s="240">
        <f t="shared" si="3"/>
        <v>60</v>
      </c>
      <c r="Q19" s="240">
        <f t="shared" si="3"/>
        <v>-15.5</v>
      </c>
    </row>
    <row r="20" spans="1:17" ht="13.5" thickTop="1" x14ac:dyDescent="0.2">
      <c r="A20" s="1"/>
      <c r="B20" s="1"/>
      <c r="C20" s="1"/>
      <c r="D20" s="1"/>
      <c r="E20" s="1"/>
      <c r="F20" s="1"/>
      <c r="G20" s="247" t="s">
        <v>35</v>
      </c>
      <c r="I20" s="258">
        <f>I19</f>
        <v>-7.4500000000000028</v>
      </c>
      <c r="J20" s="259">
        <f t="shared" ref="J20:N20" si="4">J19</f>
        <v>-22.040000000000006</v>
      </c>
      <c r="K20" s="259">
        <f t="shared" si="4"/>
        <v>-8.3400000000000034</v>
      </c>
      <c r="L20" s="259">
        <f t="shared" si="4"/>
        <v>-17.180000000000007</v>
      </c>
      <c r="M20" s="259">
        <f t="shared" si="4"/>
        <v>6.0999999999999943</v>
      </c>
      <c r="N20" s="260">
        <f t="shared" si="4"/>
        <v>-13.560000000000002</v>
      </c>
      <c r="O20" s="256">
        <f>ROUND(O12/N12%,2)-100</f>
        <v>-0.20999999999999375</v>
      </c>
      <c r="P20" s="240">
        <f>ROUND(P12/O12%,2)-100</f>
        <v>57.580000000000013</v>
      </c>
      <c r="Q20" s="240">
        <f>ROUND(Q12/P12%,2)-100</f>
        <v>-12.810000000000002</v>
      </c>
    </row>
    <row r="21" spans="1:17" x14ac:dyDescent="0.2">
      <c r="A21" s="1"/>
      <c r="B21" s="1"/>
      <c r="C21" s="1"/>
      <c r="D21" s="1"/>
      <c r="E21" s="1"/>
      <c r="F21" s="1"/>
      <c r="G21" s="248" t="s">
        <v>120</v>
      </c>
      <c r="I21" s="262"/>
      <c r="J21" s="175"/>
      <c r="K21" s="175"/>
      <c r="L21" s="175"/>
      <c r="M21" s="175"/>
      <c r="N21" s="263"/>
    </row>
    <row r="22" spans="1:17" x14ac:dyDescent="0.2">
      <c r="A22" s="1"/>
      <c r="B22" s="1"/>
      <c r="C22" s="1"/>
      <c r="D22" s="1"/>
      <c r="E22" s="261"/>
      <c r="F22" s="261"/>
      <c r="G22" s="269"/>
      <c r="H22" s="54"/>
      <c r="I22" s="142"/>
      <c r="J22" s="142"/>
      <c r="K22" s="142"/>
      <c r="L22" s="142"/>
      <c r="M22" s="142"/>
      <c r="N22" s="142"/>
    </row>
    <row r="23" spans="1:17" ht="13.5" thickBot="1" x14ac:dyDescent="0.25">
      <c r="A23" s="1"/>
      <c r="B23" s="1"/>
      <c r="C23" s="1"/>
      <c r="D23" s="1"/>
      <c r="E23" s="261"/>
      <c r="F23" s="261"/>
      <c r="G23" s="269"/>
      <c r="H23" s="270" t="s">
        <v>122</v>
      </c>
      <c r="I23" s="142"/>
      <c r="J23" s="142"/>
      <c r="K23" s="142"/>
      <c r="L23" s="142"/>
      <c r="M23" s="142"/>
      <c r="N23" s="142"/>
    </row>
    <row r="24" spans="1:17" ht="13.5" thickTop="1" x14ac:dyDescent="0.2">
      <c r="A24" s="1"/>
      <c r="B24" s="129" t="s">
        <v>116</v>
      </c>
      <c r="C24" s="241" t="s">
        <v>117</v>
      </c>
      <c r="D24" s="242" t="s">
        <v>118</v>
      </c>
      <c r="E24" s="1"/>
      <c r="F24" s="1"/>
      <c r="H24" s="264" t="s">
        <v>121</v>
      </c>
      <c r="I24" s="265">
        <v>38961</v>
      </c>
      <c r="J24" s="265">
        <v>39326</v>
      </c>
      <c r="K24" s="265">
        <v>39692</v>
      </c>
      <c r="L24" s="265">
        <v>40422</v>
      </c>
      <c r="M24" s="265">
        <v>40787</v>
      </c>
      <c r="N24" s="265">
        <v>41153</v>
      </c>
      <c r="O24" s="265">
        <v>41518</v>
      </c>
      <c r="P24" s="265">
        <v>41913</v>
      </c>
      <c r="Q24" s="266">
        <v>42278</v>
      </c>
    </row>
    <row r="25" spans="1:17" x14ac:dyDescent="0.2">
      <c r="A25" s="1"/>
      <c r="B25" s="194">
        <f>ROUND(C25*D25%,2)</f>
        <v>25.58</v>
      </c>
      <c r="C25" s="243">
        <v>63.95</v>
      </c>
      <c r="D25" s="192">
        <v>40</v>
      </c>
      <c r="E25" s="1"/>
      <c r="F25" s="1"/>
      <c r="H25" s="267">
        <v>25.58</v>
      </c>
      <c r="I25" s="2">
        <f t="shared" ref="I25:J28" si="5">IF(H25&gt;I9,I9,IF(I17&lt;0,H25,ROUND(H25*I17%,2)+H25))</f>
        <v>25.58</v>
      </c>
      <c r="J25" s="2">
        <f t="shared" si="5"/>
        <v>32.42</v>
      </c>
      <c r="K25" s="2">
        <f t="shared" ref="K25:Q25" si="6">IF(J25&gt;K9,K9,IF(K17&lt;0,J25,ROUND(J25*K17%,2)+J25))</f>
        <v>32.42</v>
      </c>
      <c r="L25" s="2">
        <f t="shared" si="6"/>
        <v>25.5</v>
      </c>
      <c r="M25" s="2">
        <f t="shared" si="6"/>
        <v>27</v>
      </c>
      <c r="N25" s="2">
        <f t="shared" si="6"/>
        <v>35</v>
      </c>
      <c r="O25" s="2">
        <f t="shared" si="6"/>
        <v>35</v>
      </c>
      <c r="P25" s="2">
        <f t="shared" si="6"/>
        <v>35</v>
      </c>
      <c r="Q25" s="192">
        <f t="shared" si="6"/>
        <v>35</v>
      </c>
    </row>
    <row r="26" spans="1:17" x14ac:dyDescent="0.2">
      <c r="A26" s="1"/>
      <c r="B26" s="194">
        <f t="shared" ref="B26:B27" si="7">ROUND(C26*D26%,2)</f>
        <v>52.5</v>
      </c>
      <c r="C26" s="243">
        <v>90</v>
      </c>
      <c r="D26" s="192">
        <v>58.33</v>
      </c>
      <c r="E26" s="1"/>
      <c r="F26" s="1"/>
      <c r="H26" s="267">
        <v>52.5</v>
      </c>
      <c r="I26" s="2">
        <f t="shared" si="5"/>
        <v>52.5</v>
      </c>
      <c r="J26" s="2">
        <f t="shared" si="5"/>
        <v>52.5</v>
      </c>
      <c r="K26" s="2">
        <f t="shared" ref="K26:Q28" si="8">IF(J26&gt;K10,K10,IF(K18&lt;0,J26,ROUND(J26*K18%,2)+J26))</f>
        <v>53.92</v>
      </c>
      <c r="L26" s="2">
        <f t="shared" si="8"/>
        <v>43.33</v>
      </c>
      <c r="M26" s="2">
        <f t="shared" si="8"/>
        <v>49</v>
      </c>
      <c r="N26" s="2">
        <f t="shared" si="8"/>
        <v>51</v>
      </c>
      <c r="O26" s="2">
        <f t="shared" si="8"/>
        <v>47.5</v>
      </c>
      <c r="P26" s="2">
        <f t="shared" si="8"/>
        <v>70</v>
      </c>
      <c r="Q26" s="192">
        <f t="shared" si="8"/>
        <v>50.75</v>
      </c>
    </row>
    <row r="27" spans="1:17" x14ac:dyDescent="0.2">
      <c r="A27" s="1"/>
      <c r="B27" s="194">
        <f t="shared" si="7"/>
        <v>74.849999999999994</v>
      </c>
      <c r="C27" s="243">
        <v>124.75</v>
      </c>
      <c r="D27" s="192">
        <v>60</v>
      </c>
      <c r="E27" s="1"/>
      <c r="F27" s="1"/>
      <c r="H27" s="267">
        <v>74.849999999999994</v>
      </c>
      <c r="I27" s="2">
        <f t="shared" si="5"/>
        <v>74.849999999999994</v>
      </c>
      <c r="J27" s="2">
        <f t="shared" si="5"/>
        <v>74.849999999999994</v>
      </c>
      <c r="K27" s="2">
        <f t="shared" si="8"/>
        <v>74.849999999999994</v>
      </c>
      <c r="L27" s="2">
        <f t="shared" si="8"/>
        <v>68.33</v>
      </c>
      <c r="M27" s="2">
        <f t="shared" si="8"/>
        <v>72.5</v>
      </c>
      <c r="N27" s="2">
        <f t="shared" si="8"/>
        <v>62.67</v>
      </c>
      <c r="O27" s="2">
        <f t="shared" si="8"/>
        <v>62.5</v>
      </c>
      <c r="P27" s="2">
        <f t="shared" si="8"/>
        <v>100</v>
      </c>
      <c r="Q27" s="192">
        <f t="shared" si="8"/>
        <v>84.5</v>
      </c>
    </row>
    <row r="28" spans="1:17" ht="13.5" thickBot="1" x14ac:dyDescent="0.25">
      <c r="B28" s="5">
        <f>ROUND(C28*D28%,2)</f>
        <v>69.27</v>
      </c>
      <c r="C28" s="246">
        <v>115.45</v>
      </c>
      <c r="D28" s="169">
        <v>60</v>
      </c>
      <c r="E28" s="141"/>
      <c r="F28" s="1"/>
      <c r="H28" s="268">
        <v>69.27</v>
      </c>
      <c r="I28" s="4">
        <f t="shared" si="5"/>
        <v>69.27</v>
      </c>
      <c r="J28" s="4">
        <f t="shared" si="5"/>
        <v>69.27</v>
      </c>
      <c r="K28" s="4">
        <f t="shared" si="8"/>
        <v>69.27</v>
      </c>
      <c r="L28" s="4">
        <f t="shared" si="8"/>
        <v>63.230000000000011</v>
      </c>
      <c r="M28" s="4">
        <f t="shared" si="8"/>
        <v>67.090000000000018</v>
      </c>
      <c r="N28" s="4">
        <f t="shared" si="8"/>
        <v>67.090000000000018</v>
      </c>
      <c r="O28" s="4">
        <f t="shared" si="8"/>
        <v>67.090000000000018</v>
      </c>
      <c r="P28" s="4">
        <f t="shared" si="8"/>
        <v>105.72000000000003</v>
      </c>
      <c r="Q28" s="245">
        <f t="shared" si="8"/>
        <v>105.72000000000003</v>
      </c>
    </row>
    <row r="29" spans="1:17" ht="13.5" thickTop="1" x14ac:dyDescent="0.2">
      <c r="B29" s="6"/>
      <c r="C29" s="271"/>
      <c r="D29" s="141"/>
      <c r="E29" s="141"/>
      <c r="F29" s="1"/>
      <c r="H29" s="142"/>
      <c r="I29" s="272"/>
      <c r="J29" s="272"/>
      <c r="K29" s="272"/>
      <c r="L29" s="272"/>
      <c r="M29" s="272"/>
      <c r="N29" s="272"/>
      <c r="O29" s="272"/>
      <c r="P29" s="272"/>
      <c r="Q29" s="272"/>
    </row>
    <row r="30" spans="1:17" ht="13.5" thickBot="1" x14ac:dyDescent="0.25">
      <c r="H30" s="7" t="s">
        <v>123</v>
      </c>
    </row>
    <row r="31" spans="1:17" ht="13.5" thickTop="1" x14ac:dyDescent="0.2">
      <c r="B31" s="129" t="s">
        <v>116</v>
      </c>
      <c r="C31" s="241" t="s">
        <v>117</v>
      </c>
      <c r="D31" s="242" t="s">
        <v>118</v>
      </c>
      <c r="E31" s="1"/>
      <c r="F31" s="1"/>
      <c r="H31" s="264" t="s">
        <v>121</v>
      </c>
      <c r="I31" s="265">
        <v>38961</v>
      </c>
      <c r="J31" s="265">
        <v>39326</v>
      </c>
      <c r="K31" s="265">
        <v>39692</v>
      </c>
      <c r="L31" s="265">
        <v>40422</v>
      </c>
      <c r="M31" s="265">
        <v>40787</v>
      </c>
      <c r="N31" s="265">
        <v>41153</v>
      </c>
      <c r="O31" s="265">
        <v>41518</v>
      </c>
      <c r="P31" s="265">
        <v>41913</v>
      </c>
      <c r="Q31" s="266">
        <v>42278</v>
      </c>
    </row>
    <row r="32" spans="1:17" x14ac:dyDescent="0.2">
      <c r="B32" s="194">
        <f>ROUND(C32*D32%,2)</f>
        <v>25.58</v>
      </c>
      <c r="C32" s="243">
        <v>63.95</v>
      </c>
      <c r="D32" s="192">
        <v>40</v>
      </c>
      <c r="E32" s="1">
        <v>50</v>
      </c>
      <c r="F32" s="1">
        <f>ROUND(C32*E32%,2)</f>
        <v>31.98</v>
      </c>
      <c r="H32" s="267">
        <v>25.58</v>
      </c>
      <c r="I32" s="165">
        <f t="shared" ref="I32:K32" si="9">IF(H32&gt;I9,I9*$E$32%,IF(I17&lt;0,H32,ROUND(H32*I17%,2)+H32))</f>
        <v>25.58</v>
      </c>
      <c r="J32" s="165">
        <f t="shared" si="9"/>
        <v>32.42</v>
      </c>
      <c r="K32" s="165">
        <f t="shared" si="9"/>
        <v>32.42</v>
      </c>
      <c r="L32" s="165">
        <f>IF(K32&gt;L9,L9*$E$32%,IF(L17&lt;0,K32,ROUND(K32*L17%,2)+K32))</f>
        <v>12.75</v>
      </c>
      <c r="M32" s="165">
        <f t="shared" ref="M32:Q32" si="10">IF(L32&gt;M9,M9*$E$32%,IF(M17&lt;0,L32,ROUND(L32*M17%,2)+L32))</f>
        <v>13.5</v>
      </c>
      <c r="N32" s="165">
        <f t="shared" si="10"/>
        <v>17.5</v>
      </c>
      <c r="O32" s="165">
        <f t="shared" si="10"/>
        <v>17.5</v>
      </c>
      <c r="P32" s="165">
        <f t="shared" si="10"/>
        <v>17.5</v>
      </c>
      <c r="Q32" s="166">
        <f t="shared" si="10"/>
        <v>17.5</v>
      </c>
    </row>
    <row r="33" spans="2:17" x14ac:dyDescent="0.2">
      <c r="B33" s="194">
        <f t="shared" ref="B33:B34" si="11">ROUND(C33*D33%,2)</f>
        <v>52.5</v>
      </c>
      <c r="C33" s="243">
        <v>90</v>
      </c>
      <c r="D33" s="192">
        <v>58.33</v>
      </c>
      <c r="E33" s="1">
        <v>68</v>
      </c>
      <c r="F33" s="1">
        <f t="shared" ref="F33:F35" si="12">ROUND(C33*E33%,2)</f>
        <v>61.2</v>
      </c>
      <c r="H33" s="267">
        <v>52.5</v>
      </c>
      <c r="I33" s="2">
        <f t="shared" ref="I33:K33" si="13">IF(H33&gt;I10,I10*$E$33%,IF(I18&lt;0,H33,ROUND(H33*I18%,2)+H33))</f>
        <v>52.5</v>
      </c>
      <c r="J33" s="2">
        <f t="shared" si="13"/>
        <v>52.5</v>
      </c>
      <c r="K33" s="2">
        <f t="shared" si="13"/>
        <v>53.92</v>
      </c>
      <c r="L33" s="2">
        <f>IF(K33&gt;L10,L10*$E$33%,IF(L18&lt;0,K33,ROUND(K33*L18%,2)+K33))</f>
        <v>29.464400000000001</v>
      </c>
      <c r="M33" s="2">
        <f t="shared" ref="M33:Q33" si="14">IF(L33&gt;M10,M10*$E$33%,IF(M18&lt;0,L33,ROUND(L33*M18%,2)+L33))</f>
        <v>33.324400000000004</v>
      </c>
      <c r="N33" s="2">
        <f t="shared" si="14"/>
        <v>34.684400000000004</v>
      </c>
      <c r="O33" s="2">
        <f t="shared" si="14"/>
        <v>34.684400000000004</v>
      </c>
      <c r="P33" s="2">
        <f t="shared" si="14"/>
        <v>51.114400000000003</v>
      </c>
      <c r="Q33" s="192">
        <f t="shared" si="14"/>
        <v>34.510000000000005</v>
      </c>
    </row>
    <row r="34" spans="2:17" x14ac:dyDescent="0.2">
      <c r="B34" s="194">
        <f t="shared" si="11"/>
        <v>74.849999999999994</v>
      </c>
      <c r="C34" s="243">
        <v>124.75</v>
      </c>
      <c r="D34" s="192">
        <v>60</v>
      </c>
      <c r="E34" s="1">
        <v>70</v>
      </c>
      <c r="F34" s="1">
        <f t="shared" si="12"/>
        <v>87.33</v>
      </c>
      <c r="H34" s="267">
        <v>74.849999999999994</v>
      </c>
      <c r="I34" s="2">
        <f t="shared" ref="I34:K34" si="15">IF(H34&gt;I11,I11*$E$34%,IF(I19&lt;0,H34,ROUND(H34*I19%,2)+H34))</f>
        <v>74.849999999999994</v>
      </c>
      <c r="J34" s="2">
        <f t="shared" si="15"/>
        <v>74.849999999999994</v>
      </c>
      <c r="K34" s="2">
        <f t="shared" si="15"/>
        <v>74.849999999999994</v>
      </c>
      <c r="L34" s="2">
        <f>IF(K34&gt;L11,L11*$E$34%,IF(L19&lt;0,K34,ROUND(K34*L19%,2)+K34))</f>
        <v>47.830999999999996</v>
      </c>
      <c r="M34" s="2">
        <f t="shared" ref="M34:Q34" si="16">IF(L34&gt;M11,M11*$E$34%,IF(M19&lt;0,L34,ROUND(L34*M19%,2)+L34))</f>
        <v>50.750999999999998</v>
      </c>
      <c r="N34" s="2">
        <f t="shared" si="16"/>
        <v>50.750999999999998</v>
      </c>
      <c r="O34" s="2">
        <f t="shared" si="16"/>
        <v>50.750999999999998</v>
      </c>
      <c r="P34" s="2">
        <f t="shared" si="16"/>
        <v>81.200999999999993</v>
      </c>
      <c r="Q34" s="192">
        <f t="shared" si="16"/>
        <v>81.200999999999993</v>
      </c>
    </row>
    <row r="35" spans="2:17" ht="13.5" thickBot="1" x14ac:dyDescent="0.25">
      <c r="B35" s="5">
        <f>ROUND(C35*D35%,2)</f>
        <v>69.27</v>
      </c>
      <c r="C35" s="246">
        <v>115.45</v>
      </c>
      <c r="D35" s="169">
        <v>60</v>
      </c>
      <c r="E35" s="141">
        <v>70</v>
      </c>
      <c r="F35" s="1">
        <f t="shared" si="12"/>
        <v>80.819999999999993</v>
      </c>
      <c r="H35" s="268">
        <v>69.27</v>
      </c>
      <c r="I35" s="4">
        <f t="shared" ref="I35:K35" si="17">IF(H35&gt;I12,I12*$E$35%,IF(I20&lt;0,H35,ROUND(H35*I20%,2)+H35))</f>
        <v>69.27</v>
      </c>
      <c r="J35" s="4">
        <f t="shared" si="17"/>
        <v>69.27</v>
      </c>
      <c r="K35" s="4">
        <f t="shared" si="17"/>
        <v>69.27</v>
      </c>
      <c r="L35" s="4">
        <f>IF(K35&gt;L12,L12*$E$35%,IF(L20&lt;0,K35,ROUND(K35*L20%,2)+K35))</f>
        <v>44.261000000000003</v>
      </c>
      <c r="M35" s="4">
        <f t="shared" ref="M35:Q35" si="18">IF(L35&gt;M12,M12*$E$35%,IF(M20&lt;0,L35,ROUND(L35*M20%,2)+L35))</f>
        <v>46.961000000000006</v>
      </c>
      <c r="N35" s="4">
        <f t="shared" si="18"/>
        <v>46.961000000000006</v>
      </c>
      <c r="O35" s="4">
        <f t="shared" si="18"/>
        <v>46.961000000000006</v>
      </c>
      <c r="P35" s="4">
        <f t="shared" si="18"/>
        <v>74.001000000000005</v>
      </c>
      <c r="Q35" s="245">
        <f t="shared" si="18"/>
        <v>74.001000000000005</v>
      </c>
    </row>
    <row r="36" spans="2:17" ht="13.5" thickTop="1" x14ac:dyDescent="0.2"/>
    <row r="37" spans="2:17" ht="13.5" thickBot="1" x14ac:dyDescent="0.25">
      <c r="L37" s="1"/>
    </row>
    <row r="38" spans="2:17" ht="14.25" thickTop="1" thickBot="1" x14ac:dyDescent="0.25">
      <c r="H38" s="273" t="s">
        <v>124</v>
      </c>
      <c r="I38" s="274"/>
      <c r="J38" s="274"/>
      <c r="K38" s="274"/>
      <c r="L38" s="274"/>
      <c r="M38" s="274"/>
      <c r="N38" s="274"/>
      <c r="O38" s="274"/>
      <c r="P38" s="274"/>
      <c r="Q38" s="275"/>
    </row>
    <row r="39" spans="2:17" ht="13.5" thickTop="1" x14ac:dyDescent="0.2">
      <c r="B39" s="129" t="s">
        <v>116</v>
      </c>
      <c r="C39" s="241" t="s">
        <v>117</v>
      </c>
      <c r="D39" s="242" t="s">
        <v>118</v>
      </c>
      <c r="H39" s="277" t="s">
        <v>121</v>
      </c>
      <c r="I39" s="265">
        <v>38961</v>
      </c>
      <c r="J39" s="265">
        <v>39326</v>
      </c>
      <c r="K39" s="265">
        <v>39692</v>
      </c>
      <c r="L39" s="265">
        <v>40422</v>
      </c>
      <c r="M39" s="265">
        <v>40787</v>
      </c>
      <c r="N39" s="265">
        <v>41153</v>
      </c>
      <c r="O39" s="265">
        <v>41518</v>
      </c>
      <c r="P39" s="265">
        <v>41913</v>
      </c>
      <c r="Q39" s="266">
        <v>42278</v>
      </c>
    </row>
    <row r="40" spans="2:17" x14ac:dyDescent="0.2">
      <c r="B40" s="194">
        <f>ROUND(C40*D40%,2)</f>
        <v>25.58</v>
      </c>
      <c r="C40" s="243">
        <v>63.95</v>
      </c>
      <c r="D40" s="192">
        <v>40</v>
      </c>
      <c r="H40" s="278">
        <v>25.58</v>
      </c>
      <c r="I40" s="165">
        <f>IF(ROUND(H40*I17%,2)+H40&lt;$H$40,$H$40,ROUND(H40*I17%,2)+H40)</f>
        <v>25.58</v>
      </c>
      <c r="J40" s="165">
        <f>IF(ROUND(I46*J17%,2)+I46&lt;$H$40,$H$40,ROUND(I46*J17%,2)+I46)</f>
        <v>32.42</v>
      </c>
      <c r="K40" s="165">
        <f t="shared" ref="K40:Q40" si="19">IF(ROUND(J46*K17%,2)+J46&lt;$H$40,$H$40,ROUND(J46*K17%,2)+J46)</f>
        <v>25.58</v>
      </c>
      <c r="L40" s="165">
        <f t="shared" si="19"/>
        <v>25.58</v>
      </c>
      <c r="M40" s="165">
        <f t="shared" si="19"/>
        <v>27</v>
      </c>
      <c r="N40" s="165">
        <f t="shared" si="19"/>
        <v>35</v>
      </c>
      <c r="O40" s="165">
        <f t="shared" si="19"/>
        <v>35</v>
      </c>
      <c r="P40" s="165">
        <f t="shared" si="19"/>
        <v>35</v>
      </c>
      <c r="Q40" s="166">
        <f t="shared" si="19"/>
        <v>35</v>
      </c>
    </row>
    <row r="41" spans="2:17" x14ac:dyDescent="0.2">
      <c r="B41" s="194">
        <f t="shared" ref="B41:B42" si="20">ROUND(C41*D41%,2)</f>
        <v>52.5</v>
      </c>
      <c r="C41" s="243">
        <v>90</v>
      </c>
      <c r="D41" s="192">
        <v>58.33</v>
      </c>
      <c r="H41" s="278">
        <v>52.5</v>
      </c>
      <c r="I41" s="165">
        <f>IF(ROUND(H41*I18%,2)+H41&lt;$H$41,$H$41,ROUND(H41*I18%,2)+H41)</f>
        <v>52.5</v>
      </c>
      <c r="J41" s="165">
        <f>IF(ROUND(I47*J18%,2)+I47&lt;$H$41,$H$41,ROUND(I47*J18%,2)+I47)</f>
        <v>52.5</v>
      </c>
      <c r="K41" s="165">
        <f t="shared" ref="K41:Q41" si="21">IF(ROUND(J47*K18%,2)+J47&lt;$H$41,$H$41,ROUND(J47*K18%,2)+J47)</f>
        <v>53.92</v>
      </c>
      <c r="L41" s="165">
        <f t="shared" si="21"/>
        <v>52.5</v>
      </c>
      <c r="M41" s="165">
        <f t="shared" si="21"/>
        <v>52.5</v>
      </c>
      <c r="N41" s="165">
        <f t="shared" si="21"/>
        <v>52.5</v>
      </c>
      <c r="O41" s="165">
        <f t="shared" si="21"/>
        <v>52.5</v>
      </c>
      <c r="P41" s="165">
        <f t="shared" si="21"/>
        <v>70</v>
      </c>
      <c r="Q41" s="166">
        <f t="shared" si="21"/>
        <v>52.5</v>
      </c>
    </row>
    <row r="42" spans="2:17" x14ac:dyDescent="0.2">
      <c r="B42" s="194">
        <f t="shared" si="20"/>
        <v>74.849999999999994</v>
      </c>
      <c r="C42" s="243">
        <v>124.75</v>
      </c>
      <c r="D42" s="192">
        <v>60</v>
      </c>
      <c r="H42" s="278">
        <v>74.849999999999994</v>
      </c>
      <c r="I42" s="165">
        <f>IF(ROUND(H42*I19%,2)+H42&lt;$H$42,$H$42,ROUND(H42*I19%,2)+H42)</f>
        <v>74.849999999999994</v>
      </c>
      <c r="J42" s="165">
        <f>IF(ROUND(I48*J19%,2)+I48&lt;$H$42,$H$42,ROUND(I48*J19%,2)+I48)</f>
        <v>74.849999999999994</v>
      </c>
      <c r="K42" s="165">
        <f t="shared" ref="K42:Q42" si="22">IF(ROUND(J48*K19%,2)+J48&lt;$H$42,$H$42,ROUND(J48*K19%,2)+J48)</f>
        <v>74.849999999999994</v>
      </c>
      <c r="L42" s="165">
        <f t="shared" si="22"/>
        <v>74.849999999999994</v>
      </c>
      <c r="M42" s="165">
        <f t="shared" si="22"/>
        <v>74.849999999999994</v>
      </c>
      <c r="N42" s="165">
        <f t="shared" si="22"/>
        <v>74.849999999999994</v>
      </c>
      <c r="O42" s="165">
        <f t="shared" si="22"/>
        <v>74.849999999999994</v>
      </c>
      <c r="P42" s="165">
        <f t="shared" si="22"/>
        <v>100</v>
      </c>
      <c r="Q42" s="166">
        <f t="shared" si="22"/>
        <v>84.5</v>
      </c>
    </row>
    <row r="43" spans="2:17" ht="13.5" thickBot="1" x14ac:dyDescent="0.25">
      <c r="B43" s="5">
        <f>ROUND(C43*D43%,2)</f>
        <v>69.27</v>
      </c>
      <c r="C43" s="246">
        <v>115.45</v>
      </c>
      <c r="D43" s="169">
        <v>60</v>
      </c>
      <c r="H43" s="279">
        <v>69.27</v>
      </c>
      <c r="I43" s="168">
        <f>IF(ROUND(H43*I20%,2)+H43&lt;$H$43,$H$43,ROUND(H43*I20%,2)+H43)</f>
        <v>69.27</v>
      </c>
      <c r="J43" s="168">
        <f>IF(ROUND(I49*J20%,2)+I49&lt;$H$43,$H$43,ROUND(I49*J20%,2)+I49)</f>
        <v>69.27</v>
      </c>
      <c r="K43" s="168">
        <f t="shared" ref="K43:Q43" si="23">IF(ROUND(J49*K20%,2)+J49&lt;$H$43,$H$43,ROUND(J49*K20%,2)+J49)</f>
        <v>69.27</v>
      </c>
      <c r="L43" s="168">
        <f t="shared" si="23"/>
        <v>69.27</v>
      </c>
      <c r="M43" s="168">
        <f t="shared" si="23"/>
        <v>69.27</v>
      </c>
      <c r="N43" s="168">
        <f t="shared" si="23"/>
        <v>69.27</v>
      </c>
      <c r="O43" s="168">
        <f t="shared" si="23"/>
        <v>69.27</v>
      </c>
      <c r="P43" s="168">
        <f t="shared" si="23"/>
        <v>109.16</v>
      </c>
      <c r="Q43" s="169">
        <f t="shared" si="23"/>
        <v>95.179999999999993</v>
      </c>
    </row>
    <row r="44" spans="2:17" ht="14.25" thickTop="1" thickBot="1" x14ac:dyDescent="0.25">
      <c r="H44" s="280" t="s">
        <v>125</v>
      </c>
      <c r="I44" s="6"/>
      <c r="J44" s="6"/>
      <c r="K44" s="6"/>
      <c r="L44" s="6"/>
      <c r="M44" s="6"/>
      <c r="N44" s="6"/>
      <c r="O44" s="6"/>
      <c r="P44" s="6"/>
      <c r="Q44" s="276"/>
    </row>
    <row r="45" spans="2:17" ht="13.5" thickTop="1" x14ac:dyDescent="0.2">
      <c r="H45" s="277" t="s">
        <v>121</v>
      </c>
      <c r="I45" s="265">
        <v>38961</v>
      </c>
      <c r="J45" s="265">
        <v>39326</v>
      </c>
      <c r="K45" s="265">
        <v>39692</v>
      </c>
      <c r="L45" s="265">
        <v>40422</v>
      </c>
      <c r="M45" s="265">
        <v>40787</v>
      </c>
      <c r="N45" s="265">
        <v>41153</v>
      </c>
      <c r="O45" s="265">
        <v>41518</v>
      </c>
      <c r="P45" s="265">
        <v>41913</v>
      </c>
      <c r="Q45" s="266">
        <v>42278</v>
      </c>
    </row>
    <row r="46" spans="2:17" x14ac:dyDescent="0.2">
      <c r="H46" s="278">
        <v>25.58</v>
      </c>
      <c r="I46" s="165">
        <f>IF(I40&gt;I9,I9,I40)</f>
        <v>25.58</v>
      </c>
      <c r="J46" s="165">
        <f t="shared" ref="J46:Q46" si="24">IF(J40&gt;J9,J9,J40)</f>
        <v>32.42</v>
      </c>
      <c r="K46" s="165">
        <f t="shared" si="24"/>
        <v>25.58</v>
      </c>
      <c r="L46" s="165">
        <f t="shared" si="24"/>
        <v>25.5</v>
      </c>
      <c r="M46" s="165">
        <f t="shared" si="24"/>
        <v>27</v>
      </c>
      <c r="N46" s="165">
        <f t="shared" si="24"/>
        <v>35</v>
      </c>
      <c r="O46" s="165">
        <f t="shared" si="24"/>
        <v>35</v>
      </c>
      <c r="P46" s="165">
        <f t="shared" si="24"/>
        <v>35</v>
      </c>
      <c r="Q46" s="166">
        <f t="shared" si="24"/>
        <v>35</v>
      </c>
    </row>
    <row r="47" spans="2:17" x14ac:dyDescent="0.2">
      <c r="H47" s="278">
        <v>52.5</v>
      </c>
      <c r="I47" s="165">
        <f t="shared" ref="I47:Q49" si="25">IF(I41&gt;I10,I10,I41)</f>
        <v>52.5</v>
      </c>
      <c r="J47" s="165">
        <f t="shared" si="25"/>
        <v>52.5</v>
      </c>
      <c r="K47" s="165">
        <f t="shared" si="25"/>
        <v>53.92</v>
      </c>
      <c r="L47" s="165">
        <f t="shared" si="25"/>
        <v>43.33</v>
      </c>
      <c r="M47" s="165">
        <f t="shared" si="25"/>
        <v>49</v>
      </c>
      <c r="N47" s="165">
        <f t="shared" si="25"/>
        <v>51</v>
      </c>
      <c r="O47" s="165">
        <f t="shared" si="25"/>
        <v>47.5</v>
      </c>
      <c r="P47" s="165">
        <f t="shared" si="25"/>
        <v>70</v>
      </c>
      <c r="Q47" s="166">
        <f t="shared" si="25"/>
        <v>50.75</v>
      </c>
    </row>
    <row r="48" spans="2:17" x14ac:dyDescent="0.2">
      <c r="H48" s="278">
        <v>74.849999999999994</v>
      </c>
      <c r="I48" s="165">
        <f t="shared" si="25"/>
        <v>74.849999999999994</v>
      </c>
      <c r="J48" s="165">
        <f t="shared" si="25"/>
        <v>74.849999999999994</v>
      </c>
      <c r="K48" s="165">
        <f t="shared" si="25"/>
        <v>74.849999999999994</v>
      </c>
      <c r="L48" s="165">
        <f t="shared" si="25"/>
        <v>68.33</v>
      </c>
      <c r="M48" s="165">
        <f t="shared" si="25"/>
        <v>72.5</v>
      </c>
      <c r="N48" s="165">
        <f t="shared" si="25"/>
        <v>62.67</v>
      </c>
      <c r="O48" s="165">
        <f t="shared" si="25"/>
        <v>62.5</v>
      </c>
      <c r="P48" s="165">
        <f t="shared" si="25"/>
        <v>100</v>
      </c>
      <c r="Q48" s="166">
        <f t="shared" si="25"/>
        <v>84.5</v>
      </c>
    </row>
    <row r="49" spans="8:17" ht="13.5" thickBot="1" x14ac:dyDescent="0.25">
      <c r="H49" s="279">
        <v>69.27</v>
      </c>
      <c r="I49" s="168">
        <f t="shared" si="25"/>
        <v>69.27</v>
      </c>
      <c r="J49" s="168">
        <f t="shared" si="25"/>
        <v>69.27</v>
      </c>
      <c r="K49" s="168">
        <f t="shared" si="25"/>
        <v>69.27</v>
      </c>
      <c r="L49" s="168">
        <f t="shared" si="25"/>
        <v>63.230000000000011</v>
      </c>
      <c r="M49" s="168">
        <f t="shared" si="25"/>
        <v>67.090000000000018</v>
      </c>
      <c r="N49" s="168">
        <f t="shared" si="25"/>
        <v>69.27</v>
      </c>
      <c r="O49" s="168">
        <f t="shared" si="25"/>
        <v>69.27</v>
      </c>
      <c r="P49" s="168">
        <f t="shared" si="25"/>
        <v>109.16</v>
      </c>
      <c r="Q49" s="169">
        <f t="shared" si="25"/>
        <v>95.179999999999993</v>
      </c>
    </row>
    <row r="50" spans="8:17" ht="13.5" thickTop="1" x14ac:dyDescent="0.2"/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79"/>
  <sheetViews>
    <sheetView topLeftCell="A7" workbookViewId="0">
      <selection activeCell="M25" sqref="M25"/>
    </sheetView>
  </sheetViews>
  <sheetFormatPr defaultRowHeight="12.75" x14ac:dyDescent="0.2"/>
  <cols>
    <col min="2" max="2" width="16.42578125" customWidth="1"/>
    <col min="3" max="6" width="10" customWidth="1"/>
    <col min="7" max="7" width="7.42578125" bestFit="1" customWidth="1"/>
    <col min="8" max="8" width="5.140625" bestFit="1" customWidth="1"/>
    <col min="9" max="9" width="9" bestFit="1" customWidth="1"/>
    <col min="10" max="10" width="8.7109375" bestFit="1" customWidth="1"/>
    <col min="11" max="11" width="6.28515625" bestFit="1" customWidth="1"/>
    <col min="14" max="14" width="10.85546875" bestFit="1" customWidth="1"/>
    <col min="15" max="15" width="9.28515625" bestFit="1" customWidth="1"/>
    <col min="16" max="16" width="10.7109375" bestFit="1" customWidth="1"/>
  </cols>
  <sheetData>
    <row r="4" spans="2:15" ht="13.5" thickBot="1" x14ac:dyDescent="0.25"/>
    <row r="5" spans="2:15" ht="13.5" thickBot="1" x14ac:dyDescent="0.25">
      <c r="B5" s="204"/>
      <c r="C5" s="204"/>
      <c r="D5" s="204"/>
      <c r="E5" s="204"/>
      <c r="F5" s="205" t="s">
        <v>133</v>
      </c>
      <c r="G5" s="206"/>
      <c r="H5" s="206"/>
      <c r="I5" s="206"/>
      <c r="J5" s="206"/>
      <c r="K5" s="207"/>
    </row>
    <row r="6" spans="2:15" ht="15.75" thickBot="1" x14ac:dyDescent="0.25">
      <c r="B6" s="204"/>
      <c r="C6" s="204"/>
      <c r="D6" s="204"/>
      <c r="E6" s="204"/>
      <c r="F6" s="208" t="s">
        <v>95</v>
      </c>
      <c r="G6" s="209" t="s">
        <v>97</v>
      </c>
      <c r="H6" s="290"/>
      <c r="I6" s="208" t="s">
        <v>73</v>
      </c>
      <c r="J6" s="210"/>
      <c r="K6" s="211"/>
      <c r="L6" s="281"/>
    </row>
    <row r="7" spans="2:15" ht="15.75" thickBot="1" x14ac:dyDescent="0.25">
      <c r="B7" s="205" t="s">
        <v>104</v>
      </c>
      <c r="C7" s="206"/>
      <c r="D7" s="206"/>
      <c r="E7" s="207"/>
      <c r="F7" s="212" t="s">
        <v>96</v>
      </c>
      <c r="G7" s="213" t="s">
        <v>89</v>
      </c>
      <c r="H7" s="291"/>
      <c r="I7" s="217" t="s">
        <v>98</v>
      </c>
      <c r="J7" s="213"/>
      <c r="K7" s="215"/>
      <c r="L7" s="282"/>
      <c r="M7" s="1"/>
      <c r="N7" s="1"/>
      <c r="O7" s="1"/>
    </row>
    <row r="8" spans="2:15" ht="15" x14ac:dyDescent="0.2">
      <c r="B8" s="208" t="s">
        <v>71</v>
      </c>
      <c r="C8" s="210" t="s">
        <v>72</v>
      </c>
      <c r="D8" s="210" t="s">
        <v>73</v>
      </c>
      <c r="E8" s="211" t="s">
        <v>99</v>
      </c>
      <c r="F8" s="216" t="s">
        <v>90</v>
      </c>
      <c r="G8" s="213" t="s">
        <v>90</v>
      </c>
      <c r="H8" s="291" t="s">
        <v>83</v>
      </c>
      <c r="I8" s="292" t="s">
        <v>103</v>
      </c>
      <c r="J8" s="213" t="s">
        <v>100</v>
      </c>
      <c r="K8" s="215" t="s">
        <v>92</v>
      </c>
      <c r="L8" s="282"/>
      <c r="M8" s="1"/>
      <c r="N8" s="1"/>
      <c r="O8" s="1"/>
    </row>
    <row r="9" spans="2:15" ht="15" x14ac:dyDescent="0.2">
      <c r="B9" s="217"/>
      <c r="C9" s="214" t="s">
        <v>75</v>
      </c>
      <c r="D9" s="214" t="s">
        <v>98</v>
      </c>
      <c r="E9" s="218" t="s">
        <v>77</v>
      </c>
      <c r="F9" s="216"/>
      <c r="G9" s="213"/>
      <c r="H9" s="291"/>
      <c r="I9" s="292" t="s">
        <v>91</v>
      </c>
      <c r="J9" s="213" t="s">
        <v>101</v>
      </c>
      <c r="K9" s="215" t="s">
        <v>93</v>
      </c>
      <c r="L9" s="282"/>
      <c r="M9" s="1"/>
      <c r="N9" s="1"/>
      <c r="O9" s="1"/>
    </row>
    <row r="10" spans="2:15" ht="15.75" thickBot="1" x14ac:dyDescent="0.25">
      <c r="B10" s="217" t="s">
        <v>78</v>
      </c>
      <c r="C10" s="213">
        <v>236800.62</v>
      </c>
      <c r="D10" s="297">
        <v>10</v>
      </c>
      <c r="E10" s="215">
        <f>ROUND(C10*D10,2)</f>
        <v>2368006.2000000002</v>
      </c>
      <c r="F10" s="216">
        <v>25</v>
      </c>
      <c r="G10" s="213">
        <v>50</v>
      </c>
      <c r="H10" s="291">
        <f>ROUND(G10/F10%,2)-100</f>
        <v>100</v>
      </c>
      <c r="I10" s="212">
        <f>IF(ROUND(D10*H10%,2)+D10&lt;D10,D10,IF(ROUND(D10*H10%,2)+D10&gt;G10,G10,ROUND(D10*H10%,2)+D10))</f>
        <v>20</v>
      </c>
      <c r="J10" s="213">
        <f>ROUND(C10*I10,2)</f>
        <v>4736012.4000000004</v>
      </c>
      <c r="K10" s="215"/>
      <c r="L10" s="282"/>
      <c r="M10" s="1"/>
      <c r="N10" s="1"/>
      <c r="O10" s="1"/>
    </row>
    <row r="11" spans="2:15" ht="15.75" thickBot="1" x14ac:dyDescent="0.25">
      <c r="B11" s="217" t="s">
        <v>79</v>
      </c>
      <c r="C11" s="213">
        <v>189018.03</v>
      </c>
      <c r="D11" s="298">
        <f>25-2</f>
        <v>23</v>
      </c>
      <c r="E11" s="215">
        <f t="shared" ref="E11:E13" si="0">ROUND(C11*D11,2)</f>
        <v>4347414.6900000004</v>
      </c>
      <c r="F11" s="216">
        <v>42.86</v>
      </c>
      <c r="G11" s="213">
        <v>42</v>
      </c>
      <c r="H11" s="291">
        <f t="shared" ref="H11:H13" si="1">ROUND(G11/F11%,2)-100</f>
        <v>-2.0100000000000051</v>
      </c>
      <c r="I11" s="212">
        <f t="shared" ref="I11:I13" si="2">IF(ROUND(D11*H11%,2)+D11&lt;D11,D11,IF(ROUND(D11*H11%,2)+D11&gt;G11,G11,ROUND(D11*H11%,2)+D11))</f>
        <v>23</v>
      </c>
      <c r="J11" s="213">
        <f>ROUND(C11*I11,2)</f>
        <v>4347414.6900000004</v>
      </c>
      <c r="K11" s="215"/>
      <c r="L11" s="296" t="s">
        <v>132</v>
      </c>
      <c r="M11" s="174"/>
      <c r="N11" s="174"/>
      <c r="O11" s="174"/>
    </row>
    <row r="12" spans="2:15" ht="15.75" thickBot="1" x14ac:dyDescent="0.25">
      <c r="B12" s="217" t="s">
        <v>80</v>
      </c>
      <c r="C12" s="213">
        <v>32625.85</v>
      </c>
      <c r="D12" s="298">
        <f>35+1</f>
        <v>36</v>
      </c>
      <c r="E12" s="215">
        <f t="shared" si="0"/>
        <v>1174530.6000000001</v>
      </c>
      <c r="F12" s="216">
        <v>58.33</v>
      </c>
      <c r="G12" s="213">
        <v>58</v>
      </c>
      <c r="H12" s="291">
        <f t="shared" si="1"/>
        <v>-0.56999999999999318</v>
      </c>
      <c r="I12" s="212">
        <f t="shared" si="2"/>
        <v>36</v>
      </c>
      <c r="J12" s="213">
        <f>ROUND(C12*I12,2)</f>
        <v>1174530.6000000001</v>
      </c>
      <c r="K12" s="215"/>
      <c r="L12" s="282"/>
      <c r="M12" s="1"/>
      <c r="N12" s="1"/>
      <c r="O12" s="1"/>
    </row>
    <row r="13" spans="2:15" ht="15.75" thickBot="1" x14ac:dyDescent="0.25">
      <c r="B13" s="217" t="s">
        <v>81</v>
      </c>
      <c r="C13" s="213">
        <v>0</v>
      </c>
      <c r="D13" s="298">
        <f>45+1</f>
        <v>46</v>
      </c>
      <c r="E13" s="215">
        <f t="shared" si="0"/>
        <v>0</v>
      </c>
      <c r="F13" s="216">
        <v>75</v>
      </c>
      <c r="G13" s="213">
        <v>76</v>
      </c>
      <c r="H13" s="291">
        <f t="shared" si="1"/>
        <v>1.3299999999999983</v>
      </c>
      <c r="I13" s="212">
        <f t="shared" si="2"/>
        <v>46.61</v>
      </c>
      <c r="J13" s="213">
        <f>ROUND(C13*I13,2)</f>
        <v>0</v>
      </c>
      <c r="K13" s="215"/>
      <c r="L13" s="282"/>
      <c r="M13" s="1"/>
      <c r="N13" s="1"/>
      <c r="O13" s="1"/>
    </row>
    <row r="14" spans="2:15" ht="15.75" thickBot="1" x14ac:dyDescent="0.25">
      <c r="B14" s="219" t="s">
        <v>82</v>
      </c>
      <c r="C14" s="220">
        <f>SUM(C10:C13)</f>
        <v>458444.5</v>
      </c>
      <c r="D14" s="220"/>
      <c r="E14" s="221">
        <f>SUM(E10:E13)</f>
        <v>7889951.4900000002</v>
      </c>
      <c r="F14" s="216"/>
      <c r="G14" s="213"/>
      <c r="H14" s="291"/>
      <c r="I14" s="212"/>
      <c r="J14" s="213">
        <f>SUM(J10:J13)</f>
        <v>10257957.689999999</v>
      </c>
      <c r="K14" s="215"/>
      <c r="L14" s="282"/>
      <c r="M14" s="1"/>
      <c r="N14" s="1"/>
      <c r="O14" s="1"/>
    </row>
    <row r="15" spans="2:15" ht="15" x14ac:dyDescent="0.2">
      <c r="B15" s="222" t="s">
        <v>94</v>
      </c>
      <c r="C15" s="223"/>
      <c r="D15" s="224"/>
      <c r="E15" s="225">
        <v>144</v>
      </c>
      <c r="F15" s="212" t="s">
        <v>94</v>
      </c>
      <c r="G15" s="213"/>
      <c r="H15" s="291"/>
      <c r="I15" s="212"/>
      <c r="J15" s="213">
        <v>144</v>
      </c>
      <c r="K15" s="215"/>
      <c r="L15" s="282"/>
      <c r="M15" s="1"/>
      <c r="N15" s="1"/>
      <c r="O15" s="1"/>
    </row>
    <row r="16" spans="2:15" ht="15.75" thickBot="1" x14ac:dyDescent="0.25">
      <c r="B16" s="226" t="s">
        <v>88</v>
      </c>
      <c r="C16" s="227"/>
      <c r="D16" s="228"/>
      <c r="E16" s="229">
        <f>ROUND(E14/E15,2)</f>
        <v>54791.33</v>
      </c>
      <c r="F16" s="230" t="s">
        <v>102</v>
      </c>
      <c r="G16" s="231"/>
      <c r="H16" s="231"/>
      <c r="I16" s="293"/>
      <c r="J16" s="220">
        <f>ROUND(J14/J15,2)</f>
        <v>71235.820000000007</v>
      </c>
      <c r="K16" s="232">
        <f>ROUND(J16/E16%,4)-100</f>
        <v>30.012900000000002</v>
      </c>
      <c r="L16" s="282"/>
      <c r="M16" s="1"/>
      <c r="N16" s="1"/>
      <c r="O16" s="1"/>
    </row>
    <row r="17" spans="2:18" ht="13.5" thickBot="1" x14ac:dyDescent="0.25">
      <c r="B17" s="204"/>
      <c r="C17" s="204"/>
      <c r="D17" s="204"/>
      <c r="E17" s="204"/>
      <c r="F17" s="294"/>
      <c r="G17" s="294"/>
      <c r="H17" s="294"/>
      <c r="I17" s="294"/>
      <c r="J17" s="294"/>
      <c r="K17" s="294"/>
      <c r="L17" s="1"/>
      <c r="M17" s="1"/>
      <c r="N17" s="1"/>
      <c r="O17" s="1"/>
    </row>
    <row r="18" spans="2:18" ht="13.5" thickBot="1" x14ac:dyDescent="0.25">
      <c r="B18" s="204"/>
      <c r="C18" s="204"/>
      <c r="D18" s="204"/>
      <c r="E18" s="204"/>
      <c r="F18" s="205" t="s">
        <v>134</v>
      </c>
      <c r="G18" s="206"/>
      <c r="H18" s="206"/>
      <c r="I18" s="206"/>
      <c r="J18" s="206"/>
      <c r="K18" s="207"/>
      <c r="L18" s="1"/>
      <c r="M18" s="1"/>
      <c r="N18" s="1"/>
      <c r="O18" s="1"/>
    </row>
    <row r="19" spans="2:18" ht="13.5" thickBot="1" x14ac:dyDescent="0.25">
      <c r="B19" s="204"/>
      <c r="C19" s="204"/>
      <c r="D19" s="204"/>
      <c r="E19" s="204"/>
      <c r="F19" s="208" t="s">
        <v>95</v>
      </c>
      <c r="G19" s="209" t="s">
        <v>126</v>
      </c>
      <c r="H19" s="290"/>
      <c r="I19" s="208" t="s">
        <v>73</v>
      </c>
      <c r="J19" s="210"/>
      <c r="K19" s="211"/>
      <c r="L19" s="1"/>
      <c r="M19" s="1"/>
      <c r="N19" s="1"/>
      <c r="O19" s="1"/>
    </row>
    <row r="20" spans="2:18" ht="13.5" thickBot="1" x14ac:dyDescent="0.25">
      <c r="B20" s="205"/>
      <c r="C20" s="206"/>
      <c r="D20" s="206"/>
      <c r="E20" s="207"/>
      <c r="F20" s="212" t="s">
        <v>127</v>
      </c>
      <c r="G20" s="213" t="s">
        <v>89</v>
      </c>
      <c r="H20" s="291"/>
      <c r="I20" s="217" t="s">
        <v>98</v>
      </c>
      <c r="J20" s="213"/>
      <c r="K20" s="215"/>
      <c r="L20" s="1"/>
      <c r="M20" s="1"/>
      <c r="N20" s="1"/>
      <c r="O20" s="1"/>
      <c r="P20" s="1"/>
      <c r="Q20" s="1"/>
      <c r="R20" s="1"/>
    </row>
    <row r="21" spans="2:18" x14ac:dyDescent="0.2">
      <c r="B21" s="208" t="s">
        <v>71</v>
      </c>
      <c r="C21" s="210" t="s">
        <v>72</v>
      </c>
      <c r="D21" s="210"/>
      <c r="E21" s="211"/>
      <c r="F21" s="216" t="s">
        <v>90</v>
      </c>
      <c r="G21" s="213" t="s">
        <v>90</v>
      </c>
      <c r="H21" s="291" t="s">
        <v>83</v>
      </c>
      <c r="I21" s="292" t="s">
        <v>103</v>
      </c>
      <c r="J21" s="213" t="s">
        <v>100</v>
      </c>
      <c r="K21" s="215" t="s">
        <v>92</v>
      </c>
      <c r="L21" s="1"/>
      <c r="M21" s="1"/>
      <c r="N21" s="1"/>
      <c r="O21" s="1"/>
      <c r="P21" s="1"/>
      <c r="Q21" s="1"/>
      <c r="R21" s="1"/>
    </row>
    <row r="22" spans="2:18" x14ac:dyDescent="0.2">
      <c r="B22" s="217"/>
      <c r="C22" s="214" t="s">
        <v>75</v>
      </c>
      <c r="D22" s="214"/>
      <c r="E22" s="218"/>
      <c r="F22" s="216"/>
      <c r="G22" s="213"/>
      <c r="H22" s="291"/>
      <c r="I22" s="292" t="s">
        <v>91</v>
      </c>
      <c r="J22" s="213" t="s">
        <v>101</v>
      </c>
      <c r="K22" s="215" t="s">
        <v>93</v>
      </c>
      <c r="L22" s="1"/>
      <c r="M22" s="1"/>
      <c r="N22" s="1"/>
      <c r="O22" s="1"/>
      <c r="P22" s="1"/>
      <c r="Q22" s="1"/>
      <c r="R22" s="1"/>
    </row>
    <row r="23" spans="2:18" x14ac:dyDescent="0.2">
      <c r="B23" s="217" t="s">
        <v>78</v>
      </c>
      <c r="C23" s="213">
        <v>236800.62</v>
      </c>
      <c r="D23" s="213"/>
      <c r="E23" s="215"/>
      <c r="F23" s="216">
        <f>G10</f>
        <v>50</v>
      </c>
      <c r="G23" s="213">
        <v>9</v>
      </c>
      <c r="H23" s="291">
        <f>ROUND(G23/F23%,2)-100</f>
        <v>-82</v>
      </c>
      <c r="I23" s="212">
        <f>IF(ROUND(I10*H23%,2)+I10&lt;D10,D10,IF(ROUND(I10*H23%,2)+I10&gt;G23,G23,ROUND(I10*H23%,2)+I10))</f>
        <v>10</v>
      </c>
      <c r="J23" s="213">
        <f>ROUND(C23*I23,2)</f>
        <v>2368006.2000000002</v>
      </c>
      <c r="K23" s="215"/>
      <c r="L23" s="1"/>
      <c r="M23" s="1"/>
      <c r="N23" s="1"/>
      <c r="O23" s="1"/>
      <c r="P23" s="1"/>
      <c r="Q23" s="1"/>
      <c r="R23" s="1"/>
    </row>
    <row r="24" spans="2:18" x14ac:dyDescent="0.2">
      <c r="B24" s="217" t="s">
        <v>79</v>
      </c>
      <c r="C24" s="213">
        <v>189018.03</v>
      </c>
      <c r="D24" s="213"/>
      <c r="E24" s="215"/>
      <c r="F24" s="216">
        <f t="shared" ref="F24:F26" si="3">G11</f>
        <v>42</v>
      </c>
      <c r="G24" s="213">
        <v>42</v>
      </c>
      <c r="H24" s="291">
        <f t="shared" ref="H24:H26" si="4">ROUND(G24/F24%,2)-100</f>
        <v>0</v>
      </c>
      <c r="I24" s="212">
        <f t="shared" ref="I24:I26" si="5">IF(ROUND(I11*H24%,2)+I11&lt;D11,D11,IF(ROUND(I11*H24%,2)+I11&gt;G24,G24,ROUND(I11*H24%,2)+I11))</f>
        <v>23</v>
      </c>
      <c r="J24" s="213">
        <f>ROUND(C24*I24,2)</f>
        <v>4347414.6900000004</v>
      </c>
      <c r="K24" s="215"/>
      <c r="L24" s="1"/>
      <c r="M24" s="1"/>
      <c r="N24" s="1"/>
      <c r="O24" s="1"/>
      <c r="P24" s="1"/>
      <c r="Q24" s="1"/>
      <c r="R24" s="1"/>
    </row>
    <row r="25" spans="2:18" x14ac:dyDescent="0.2">
      <c r="B25" s="217" t="s">
        <v>80</v>
      </c>
      <c r="C25" s="213">
        <v>32625.85</v>
      </c>
      <c r="D25" s="213"/>
      <c r="E25" s="215"/>
      <c r="F25" s="216">
        <f t="shared" si="3"/>
        <v>58</v>
      </c>
      <c r="G25" s="213">
        <v>55</v>
      </c>
      <c r="H25" s="291">
        <f t="shared" si="4"/>
        <v>-5.1700000000000017</v>
      </c>
      <c r="I25" s="212">
        <f t="shared" si="5"/>
        <v>36</v>
      </c>
      <c r="J25" s="213">
        <f>ROUND(C25*I25,2)</f>
        <v>1174530.6000000001</v>
      </c>
      <c r="K25" s="215"/>
      <c r="L25" s="1"/>
      <c r="M25" s="1"/>
      <c r="N25" s="1"/>
      <c r="O25" s="1"/>
      <c r="P25" s="1"/>
      <c r="Q25" s="1"/>
      <c r="R25" s="1"/>
    </row>
    <row r="26" spans="2:18" x14ac:dyDescent="0.2">
      <c r="B26" s="217" t="s">
        <v>81</v>
      </c>
      <c r="C26" s="213">
        <v>0</v>
      </c>
      <c r="D26" s="213"/>
      <c r="E26" s="215"/>
      <c r="F26" s="216">
        <f t="shared" si="3"/>
        <v>76</v>
      </c>
      <c r="G26" s="213">
        <v>77</v>
      </c>
      <c r="H26" s="291">
        <f t="shared" si="4"/>
        <v>1.3199999999999932</v>
      </c>
      <c r="I26" s="212">
        <f t="shared" si="5"/>
        <v>47.23</v>
      </c>
      <c r="J26" s="213">
        <f>ROUND(C26*I26,2)</f>
        <v>0</v>
      </c>
      <c r="K26" s="215"/>
      <c r="L26" s="1"/>
      <c r="M26" s="1"/>
      <c r="N26" s="1"/>
      <c r="O26" s="1"/>
      <c r="P26" s="1"/>
      <c r="Q26" s="1"/>
      <c r="R26" s="1"/>
    </row>
    <row r="27" spans="2:18" ht="13.5" thickBot="1" x14ac:dyDescent="0.25">
      <c r="B27" s="219" t="s">
        <v>82</v>
      </c>
      <c r="C27" s="220">
        <f>SUM(C23:C26)</f>
        <v>458444.5</v>
      </c>
      <c r="D27" s="220"/>
      <c r="E27" s="221"/>
      <c r="F27" s="216"/>
      <c r="G27" s="213"/>
      <c r="H27" s="291"/>
      <c r="I27" s="212"/>
      <c r="J27" s="213">
        <f>SUM(J23:J26)</f>
        <v>7889951.4900000002</v>
      </c>
      <c r="K27" s="215"/>
      <c r="L27" s="1"/>
      <c r="M27" s="1"/>
      <c r="N27" s="1"/>
      <c r="O27" s="1"/>
      <c r="P27" s="1"/>
      <c r="Q27" s="1"/>
      <c r="R27" s="1"/>
    </row>
    <row r="28" spans="2:18" x14ac:dyDescent="0.2">
      <c r="B28" s="222" t="s">
        <v>94</v>
      </c>
      <c r="C28" s="223"/>
      <c r="D28" s="224"/>
      <c r="E28" s="225"/>
      <c r="F28" s="212" t="s">
        <v>94</v>
      </c>
      <c r="G28" s="213"/>
      <c r="H28" s="291"/>
      <c r="I28" s="212"/>
      <c r="J28" s="213">
        <v>144</v>
      </c>
      <c r="K28" s="215"/>
      <c r="L28" s="1"/>
      <c r="M28" s="1"/>
      <c r="N28" s="1"/>
      <c r="O28" s="1"/>
      <c r="P28" s="1"/>
      <c r="Q28" s="1"/>
      <c r="R28" s="1"/>
    </row>
    <row r="29" spans="2:18" ht="13.5" thickBot="1" x14ac:dyDescent="0.25">
      <c r="B29" s="226" t="s">
        <v>88</v>
      </c>
      <c r="C29" s="227"/>
      <c r="D29" s="228"/>
      <c r="E29" s="229"/>
      <c r="F29" s="230" t="s">
        <v>102</v>
      </c>
      <c r="G29" s="231"/>
      <c r="H29" s="231"/>
      <c r="I29" s="293"/>
      <c r="J29" s="220">
        <f>ROUND(J27/J28,2)</f>
        <v>54791.33</v>
      </c>
      <c r="K29" s="232">
        <f>ROUND(J29/J16%,4)-100</f>
        <v>-23.084599999999995</v>
      </c>
      <c r="L29" s="170" t="s">
        <v>0</v>
      </c>
      <c r="M29" s="1"/>
      <c r="N29" s="1"/>
      <c r="O29" s="1"/>
      <c r="P29" s="1"/>
      <c r="Q29" s="1"/>
      <c r="R29" s="1"/>
    </row>
    <row r="30" spans="2:18" x14ac:dyDescent="0.2">
      <c r="B30" s="204"/>
      <c r="C30" s="204"/>
      <c r="D30" s="204"/>
      <c r="E30" s="204"/>
      <c r="F30" s="294"/>
      <c r="G30" s="294"/>
      <c r="H30" s="294"/>
      <c r="I30" s="295"/>
      <c r="J30" s="204"/>
      <c r="K30" s="294"/>
      <c r="L30" s="174">
        <f>ROUND(J16*K29%,2)+J16-J29</f>
        <v>-9.9999999947613105E-3</v>
      </c>
      <c r="M30" s="1"/>
      <c r="N30" s="1"/>
      <c r="O30" s="1"/>
      <c r="P30" s="1"/>
      <c r="Q30" s="1"/>
      <c r="R30" s="1"/>
    </row>
    <row r="31" spans="2:18" ht="13.5" thickBot="1" x14ac:dyDescent="0.25">
      <c r="B31" s="204"/>
      <c r="C31" s="204"/>
      <c r="D31" s="204"/>
      <c r="E31" s="204"/>
      <c r="F31" s="294"/>
      <c r="G31" s="294"/>
      <c r="H31" s="294"/>
      <c r="I31" s="294"/>
      <c r="J31" s="294"/>
      <c r="K31" s="294"/>
      <c r="L31" s="1"/>
      <c r="M31" s="1"/>
      <c r="N31" s="1"/>
      <c r="O31" s="1"/>
      <c r="P31" s="1"/>
      <c r="Q31" s="1"/>
      <c r="R31" s="1"/>
    </row>
    <row r="32" spans="2:18" ht="13.5" thickBot="1" x14ac:dyDescent="0.25">
      <c r="B32" s="204"/>
      <c r="C32" s="204"/>
      <c r="D32" s="204"/>
      <c r="E32" s="204"/>
      <c r="F32" s="205" t="s">
        <v>135</v>
      </c>
      <c r="G32" s="206"/>
      <c r="H32" s="206"/>
      <c r="I32" s="206"/>
      <c r="J32" s="206"/>
      <c r="K32" s="207"/>
      <c r="L32" s="1"/>
      <c r="M32" s="1"/>
      <c r="N32" s="1"/>
      <c r="O32" s="1"/>
      <c r="P32" s="1"/>
      <c r="Q32" s="1"/>
      <c r="R32" s="1"/>
    </row>
    <row r="33" spans="2:18" ht="13.5" thickBot="1" x14ac:dyDescent="0.25">
      <c r="B33" s="204"/>
      <c r="C33" s="204"/>
      <c r="D33" s="204"/>
      <c r="E33" s="204"/>
      <c r="F33" s="208" t="s">
        <v>95</v>
      </c>
      <c r="G33" s="209" t="s">
        <v>128</v>
      </c>
      <c r="H33" s="290"/>
      <c r="I33" s="208" t="s">
        <v>73</v>
      </c>
      <c r="J33" s="210"/>
      <c r="K33" s="211"/>
      <c r="L33" s="1"/>
      <c r="M33" s="1"/>
      <c r="N33" s="1"/>
      <c r="O33" s="1"/>
      <c r="P33" s="1"/>
      <c r="Q33" s="1"/>
      <c r="R33" s="1"/>
    </row>
    <row r="34" spans="2:18" ht="13.5" thickBot="1" x14ac:dyDescent="0.25">
      <c r="B34" s="205"/>
      <c r="C34" s="206"/>
      <c r="D34" s="206"/>
      <c r="E34" s="207"/>
      <c r="F34" s="212" t="s">
        <v>127</v>
      </c>
      <c r="G34" s="213" t="s">
        <v>89</v>
      </c>
      <c r="H34" s="291"/>
      <c r="I34" s="217" t="s">
        <v>98</v>
      </c>
      <c r="J34" s="213"/>
      <c r="K34" s="215"/>
      <c r="L34" s="1"/>
      <c r="M34" s="1"/>
      <c r="N34" s="1"/>
      <c r="O34" s="1"/>
    </row>
    <row r="35" spans="2:18" x14ac:dyDescent="0.2">
      <c r="B35" s="208" t="s">
        <v>71</v>
      </c>
      <c r="C35" s="210" t="s">
        <v>72</v>
      </c>
      <c r="D35" s="210"/>
      <c r="E35" s="211"/>
      <c r="F35" s="216" t="s">
        <v>90</v>
      </c>
      <c r="G35" s="213" t="s">
        <v>90</v>
      </c>
      <c r="H35" s="291" t="s">
        <v>83</v>
      </c>
      <c r="I35" s="292" t="s">
        <v>103</v>
      </c>
      <c r="J35" s="213" t="s">
        <v>100</v>
      </c>
      <c r="K35" s="215" t="s">
        <v>92</v>
      </c>
      <c r="L35" s="1"/>
      <c r="M35" s="1"/>
      <c r="N35" s="1"/>
      <c r="O35" s="1"/>
    </row>
    <row r="36" spans="2:18" x14ac:dyDescent="0.2">
      <c r="B36" s="217"/>
      <c r="C36" s="214" t="s">
        <v>75</v>
      </c>
      <c r="D36" s="214"/>
      <c r="E36" s="218"/>
      <c r="F36" s="216"/>
      <c r="G36" s="213"/>
      <c r="H36" s="291"/>
      <c r="I36" s="292" t="s">
        <v>91</v>
      </c>
      <c r="J36" s="213" t="s">
        <v>101</v>
      </c>
      <c r="K36" s="215" t="s">
        <v>93</v>
      </c>
      <c r="L36" s="1"/>
      <c r="M36" s="1"/>
      <c r="N36" s="1"/>
      <c r="O36" s="1"/>
    </row>
    <row r="37" spans="2:18" x14ac:dyDescent="0.2">
      <c r="B37" s="217" t="s">
        <v>78</v>
      </c>
      <c r="C37" s="213">
        <v>236800.62</v>
      </c>
      <c r="D37" s="213"/>
      <c r="E37" s="215"/>
      <c r="F37" s="216">
        <f>G23</f>
        <v>9</v>
      </c>
      <c r="G37" s="213">
        <v>30</v>
      </c>
      <c r="H37" s="291">
        <f>ROUND(G37/F37%,2)-100</f>
        <v>233.32999999999998</v>
      </c>
      <c r="I37" s="212">
        <f>IF(ROUND(I23*H37%,2)+I23&lt;D10,D10,IF(ROUND(I23*H37%,2)+I23&gt;G37,G37,ROUND(I23*H37%,2)+I23))</f>
        <v>30</v>
      </c>
      <c r="J37" s="213">
        <f>ROUND(C37*I37,2)</f>
        <v>7104018.5999999996</v>
      </c>
      <c r="K37" s="215"/>
      <c r="L37" s="1"/>
      <c r="M37" s="1"/>
      <c r="N37" s="1"/>
      <c r="O37" s="1"/>
    </row>
    <row r="38" spans="2:18" x14ac:dyDescent="0.2">
      <c r="B38" s="217" t="s">
        <v>79</v>
      </c>
      <c r="C38" s="213">
        <v>189018.03</v>
      </c>
      <c r="D38" s="213"/>
      <c r="E38" s="215"/>
      <c r="F38" s="216">
        <f t="shared" ref="F38:F40" si="6">G24</f>
        <v>42</v>
      </c>
      <c r="G38" s="213">
        <v>45</v>
      </c>
      <c r="H38" s="291">
        <f t="shared" ref="H38:H40" si="7">ROUND(G38/F38%,2)-100</f>
        <v>7.1400000000000006</v>
      </c>
      <c r="I38" s="212">
        <f t="shared" ref="I38:I40" si="8">IF(ROUND(I24*H38%,2)+I24&lt;D11,D11,IF(ROUND(I24*H38%,2)+I24&gt;G38,G38,ROUND(I24*H38%,2)+I24))</f>
        <v>24.64</v>
      </c>
      <c r="J38" s="213">
        <f>ROUND(C38*I38,2)</f>
        <v>4657404.26</v>
      </c>
      <c r="K38" s="215"/>
      <c r="L38" s="1"/>
      <c r="M38" s="1"/>
      <c r="N38" s="1"/>
      <c r="O38" s="1"/>
    </row>
    <row r="39" spans="2:18" x14ac:dyDescent="0.2">
      <c r="B39" s="217" t="s">
        <v>80</v>
      </c>
      <c r="C39" s="213">
        <v>32625.85</v>
      </c>
      <c r="D39" s="213"/>
      <c r="E39" s="215"/>
      <c r="F39" s="216">
        <f t="shared" si="6"/>
        <v>55</v>
      </c>
      <c r="G39" s="213">
        <v>54</v>
      </c>
      <c r="H39" s="291">
        <f t="shared" si="7"/>
        <v>-1.8199999999999932</v>
      </c>
      <c r="I39" s="212">
        <f t="shared" si="8"/>
        <v>36</v>
      </c>
      <c r="J39" s="213">
        <f>ROUND(C39*I39,2)</f>
        <v>1174530.6000000001</v>
      </c>
      <c r="K39" s="215"/>
      <c r="L39" s="1"/>
      <c r="M39" s="1"/>
      <c r="N39" s="1"/>
      <c r="O39" s="1"/>
    </row>
    <row r="40" spans="2:18" x14ac:dyDescent="0.2">
      <c r="B40" s="217" t="s">
        <v>81</v>
      </c>
      <c r="C40" s="213">
        <v>0</v>
      </c>
      <c r="D40" s="213"/>
      <c r="E40" s="215"/>
      <c r="F40" s="216">
        <f t="shared" si="6"/>
        <v>77</v>
      </c>
      <c r="G40" s="213">
        <v>78</v>
      </c>
      <c r="H40" s="291">
        <f t="shared" si="7"/>
        <v>1.2999999999999972</v>
      </c>
      <c r="I40" s="212">
        <f t="shared" si="8"/>
        <v>47.839999999999996</v>
      </c>
      <c r="J40" s="213">
        <f>ROUND(C40*I40,2)</f>
        <v>0</v>
      </c>
      <c r="K40" s="215"/>
      <c r="L40" s="1"/>
      <c r="M40" s="1"/>
      <c r="N40" s="1"/>
      <c r="O40" s="1"/>
    </row>
    <row r="41" spans="2:18" ht="13.5" thickBot="1" x14ac:dyDescent="0.25">
      <c r="B41" s="219" t="s">
        <v>82</v>
      </c>
      <c r="C41" s="220">
        <f>SUM(C37:C40)</f>
        <v>458444.5</v>
      </c>
      <c r="D41" s="220"/>
      <c r="E41" s="221"/>
      <c r="F41" s="216"/>
      <c r="G41" s="213"/>
      <c r="H41" s="291"/>
      <c r="I41" s="212"/>
      <c r="J41" s="213">
        <f>SUM(J37:J40)</f>
        <v>12935953.459999999</v>
      </c>
      <c r="K41" s="215"/>
      <c r="L41" s="1"/>
      <c r="M41" s="1"/>
      <c r="N41" s="1"/>
      <c r="O41" s="1"/>
    </row>
    <row r="42" spans="2:18" x14ac:dyDescent="0.2">
      <c r="B42" s="222" t="s">
        <v>94</v>
      </c>
      <c r="C42" s="223"/>
      <c r="D42" s="224"/>
      <c r="E42" s="225"/>
      <c r="F42" s="212" t="s">
        <v>94</v>
      </c>
      <c r="G42" s="213"/>
      <c r="H42" s="291"/>
      <c r="I42" s="212"/>
      <c r="J42" s="213">
        <v>144</v>
      </c>
      <c r="K42" s="215"/>
      <c r="L42" s="1"/>
      <c r="M42" s="1"/>
      <c r="N42" s="1"/>
      <c r="O42" s="1"/>
    </row>
    <row r="43" spans="2:18" ht="13.5" thickBot="1" x14ac:dyDescent="0.25">
      <c r="B43" s="226" t="s">
        <v>88</v>
      </c>
      <c r="C43" s="227"/>
      <c r="D43" s="228"/>
      <c r="E43" s="229"/>
      <c r="F43" s="230" t="s">
        <v>102</v>
      </c>
      <c r="G43" s="231"/>
      <c r="H43" s="231"/>
      <c r="I43" s="293"/>
      <c r="J43" s="220">
        <f>ROUND(J41/J42,2)</f>
        <v>89833.01</v>
      </c>
      <c r="K43" s="232">
        <f>ROUND(J43/J29%,4)-100</f>
        <v>63.954800000000006</v>
      </c>
      <c r="L43" s="170" t="s">
        <v>0</v>
      </c>
      <c r="M43" s="1"/>
      <c r="N43" s="1"/>
      <c r="O43" s="1"/>
    </row>
    <row r="44" spans="2:18" x14ac:dyDescent="0.2">
      <c r="F44" s="1"/>
      <c r="G44" s="1"/>
      <c r="H44" s="1"/>
      <c r="I44" s="283"/>
      <c r="K44" s="1"/>
      <c r="L44" s="174">
        <f>ROUND(J29*K43%,2)+J29-J43</f>
        <v>1.0000000009313226E-2</v>
      </c>
      <c r="M44" s="1"/>
      <c r="N44" s="1"/>
      <c r="O44" s="1"/>
    </row>
    <row r="45" spans="2:18" x14ac:dyDescent="0.2"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8" x14ac:dyDescent="0.2"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8" x14ac:dyDescent="0.2"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8" x14ac:dyDescent="0.2"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6:15" x14ac:dyDescent="0.2"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6:15" x14ac:dyDescent="0.2"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6:15" x14ac:dyDescent="0.2"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6:15" x14ac:dyDescent="0.2"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6:15" x14ac:dyDescent="0.2"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6:15" x14ac:dyDescent="0.2"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6:15" x14ac:dyDescent="0.2"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6:15" x14ac:dyDescent="0.2"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6:15" x14ac:dyDescent="0.2"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6:15" x14ac:dyDescent="0.2"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6:15" x14ac:dyDescent="0.2"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6:15" x14ac:dyDescent="0.2"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6:15" x14ac:dyDescent="0.2"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6:15" x14ac:dyDescent="0.2"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6:15" x14ac:dyDescent="0.2"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6:15" x14ac:dyDescent="0.2"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x14ac:dyDescent="0.2"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x14ac:dyDescent="0.2"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x14ac:dyDescent="0.2"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x14ac:dyDescent="0.2"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x14ac:dyDescent="0.2"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x14ac:dyDescent="0.2"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x14ac:dyDescent="0.2"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x14ac:dyDescent="0.2"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x14ac:dyDescent="0.2"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x14ac:dyDescent="0.2"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x14ac:dyDescent="0.2"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x14ac:dyDescent="0.2"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x14ac:dyDescent="0.2"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x14ac:dyDescent="0.2"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x14ac:dyDescent="0.2">
      <c r="C79">
        <v>1</v>
      </c>
      <c r="D79" s="202">
        <v>42370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x14ac:dyDescent="0.2">
      <c r="C80">
        <v>2</v>
      </c>
      <c r="D80" s="202">
        <v>42401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x14ac:dyDescent="0.2">
      <c r="C81">
        <v>3</v>
      </c>
      <c r="D81" s="202">
        <v>42430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x14ac:dyDescent="0.2">
      <c r="C82">
        <v>4</v>
      </c>
      <c r="D82" s="202">
        <v>42461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x14ac:dyDescent="0.2">
      <c r="C83" s="201">
        <v>5</v>
      </c>
      <c r="D83" s="203">
        <v>42491</v>
      </c>
      <c r="E83" s="201">
        <v>1</v>
      </c>
      <c r="F83" s="1">
        <v>1</v>
      </c>
      <c r="G83" s="1"/>
      <c r="H83" s="1"/>
      <c r="I83" s="1"/>
      <c r="J83" s="1"/>
      <c r="K83" s="1"/>
      <c r="L83" s="1"/>
      <c r="M83" s="1"/>
      <c r="N83" s="1"/>
      <c r="O83" s="1"/>
    </row>
    <row r="84" spans="3:15" x14ac:dyDescent="0.2">
      <c r="C84">
        <v>6</v>
      </c>
      <c r="D84" s="202">
        <v>42522</v>
      </c>
      <c r="E84">
        <v>2</v>
      </c>
      <c r="F84" s="1">
        <v>2</v>
      </c>
      <c r="G84" s="1"/>
      <c r="H84" s="1"/>
      <c r="I84" s="1"/>
      <c r="J84" s="1"/>
      <c r="K84" s="1"/>
      <c r="L84" s="1"/>
      <c r="M84" s="1"/>
      <c r="N84" s="1"/>
      <c r="O84" s="1"/>
    </row>
    <row r="85" spans="3:15" x14ac:dyDescent="0.2">
      <c r="C85">
        <v>7</v>
      </c>
      <c r="D85" s="202">
        <v>42552</v>
      </c>
      <c r="E85">
        <v>3</v>
      </c>
      <c r="F85" s="1">
        <v>3</v>
      </c>
      <c r="G85" s="1"/>
      <c r="H85" s="1"/>
      <c r="I85" s="1"/>
      <c r="J85" s="1"/>
      <c r="K85" s="1"/>
      <c r="L85" s="1"/>
      <c r="M85" s="1"/>
      <c r="N85" s="1"/>
      <c r="O85" s="1"/>
    </row>
    <row r="86" spans="3:15" x14ac:dyDescent="0.2">
      <c r="C86">
        <v>8</v>
      </c>
      <c r="D86" s="202">
        <v>42583</v>
      </c>
      <c r="E86">
        <v>4</v>
      </c>
      <c r="F86" s="1">
        <v>4</v>
      </c>
      <c r="G86" s="1"/>
      <c r="H86" s="1"/>
      <c r="I86" s="1"/>
      <c r="J86" s="1"/>
      <c r="K86" s="1"/>
      <c r="L86" s="1"/>
      <c r="M86" s="1"/>
      <c r="N86" s="1"/>
      <c r="O86" s="1"/>
    </row>
    <row r="87" spans="3:15" x14ac:dyDescent="0.2">
      <c r="C87">
        <v>9</v>
      </c>
      <c r="D87" s="202">
        <v>42614</v>
      </c>
      <c r="E87">
        <v>5</v>
      </c>
      <c r="F87" s="1">
        <v>5</v>
      </c>
      <c r="G87" s="1"/>
      <c r="H87" s="1"/>
      <c r="I87" s="1"/>
      <c r="J87" s="1"/>
      <c r="K87" s="1"/>
      <c r="L87" s="1"/>
      <c r="M87" s="1"/>
      <c r="N87" s="1"/>
      <c r="O87" s="1"/>
    </row>
    <row r="88" spans="3:15" x14ac:dyDescent="0.2">
      <c r="C88" s="201">
        <v>10</v>
      </c>
      <c r="D88" s="203">
        <v>42644</v>
      </c>
      <c r="E88" s="201">
        <v>6</v>
      </c>
      <c r="F88" s="1">
        <v>6</v>
      </c>
      <c r="G88" s="1"/>
      <c r="H88" s="1"/>
      <c r="I88" s="1"/>
      <c r="J88" s="1"/>
      <c r="K88" s="1"/>
      <c r="L88" s="1"/>
      <c r="M88" s="1"/>
      <c r="N88" s="1"/>
      <c r="O88" s="1"/>
    </row>
    <row r="89" spans="3:15" x14ac:dyDescent="0.2">
      <c r="C89">
        <v>11</v>
      </c>
      <c r="D89" s="202">
        <v>42675</v>
      </c>
      <c r="E89">
        <v>1</v>
      </c>
      <c r="F89" s="1">
        <v>1</v>
      </c>
      <c r="G89" s="1"/>
      <c r="H89" s="1"/>
      <c r="I89" s="1"/>
      <c r="J89" s="1"/>
      <c r="K89" s="1"/>
      <c r="L89" s="1"/>
      <c r="M89" s="1"/>
      <c r="N89" s="1"/>
      <c r="O89" s="1"/>
    </row>
    <row r="90" spans="3:15" x14ac:dyDescent="0.2">
      <c r="C90" s="173">
        <v>12</v>
      </c>
      <c r="D90" s="202">
        <v>42705</v>
      </c>
      <c r="E90">
        <v>2</v>
      </c>
      <c r="F90" s="1">
        <v>2</v>
      </c>
    </row>
    <row r="91" spans="3:15" x14ac:dyDescent="0.2">
      <c r="C91">
        <v>13</v>
      </c>
      <c r="D91" s="202">
        <v>42736</v>
      </c>
      <c r="E91">
        <v>3</v>
      </c>
      <c r="F91" s="1">
        <v>3</v>
      </c>
    </row>
    <row r="92" spans="3:15" x14ac:dyDescent="0.2">
      <c r="C92">
        <v>14</v>
      </c>
      <c r="D92" s="202">
        <v>42767</v>
      </c>
      <c r="E92">
        <v>4</v>
      </c>
      <c r="F92" s="1">
        <v>4</v>
      </c>
    </row>
    <row r="93" spans="3:15" x14ac:dyDescent="0.2">
      <c r="C93">
        <v>15</v>
      </c>
      <c r="D93" s="202">
        <v>42795</v>
      </c>
      <c r="E93">
        <v>5</v>
      </c>
      <c r="F93" s="1">
        <v>5</v>
      </c>
    </row>
    <row r="94" spans="3:15" x14ac:dyDescent="0.2">
      <c r="C94">
        <v>16</v>
      </c>
      <c r="D94" s="202">
        <v>42826</v>
      </c>
      <c r="E94">
        <v>6</v>
      </c>
      <c r="F94">
        <v>6</v>
      </c>
    </row>
    <row r="95" spans="3:15" x14ac:dyDescent="0.2">
      <c r="C95" s="201">
        <v>17</v>
      </c>
      <c r="D95" s="203">
        <v>42856</v>
      </c>
      <c r="E95" s="201">
        <v>7</v>
      </c>
      <c r="F95">
        <v>1</v>
      </c>
    </row>
    <row r="96" spans="3:15" x14ac:dyDescent="0.2">
      <c r="C96">
        <v>18</v>
      </c>
      <c r="D96" s="202">
        <v>42887</v>
      </c>
      <c r="E96">
        <v>1</v>
      </c>
      <c r="F96">
        <v>2</v>
      </c>
    </row>
    <row r="97" spans="3:6" x14ac:dyDescent="0.2">
      <c r="C97">
        <v>19</v>
      </c>
      <c r="D97" s="202">
        <v>42917</v>
      </c>
      <c r="E97">
        <v>2</v>
      </c>
      <c r="F97">
        <v>3</v>
      </c>
    </row>
    <row r="98" spans="3:6" x14ac:dyDescent="0.2">
      <c r="C98">
        <v>20</v>
      </c>
      <c r="D98" s="202">
        <v>42948</v>
      </c>
      <c r="E98">
        <v>3</v>
      </c>
      <c r="F98">
        <v>4</v>
      </c>
    </row>
    <row r="99" spans="3:6" x14ac:dyDescent="0.2">
      <c r="C99">
        <v>21</v>
      </c>
      <c r="D99" s="202">
        <v>42979</v>
      </c>
      <c r="E99">
        <v>4</v>
      </c>
      <c r="F99">
        <v>5</v>
      </c>
    </row>
    <row r="100" spans="3:6" x14ac:dyDescent="0.2">
      <c r="C100" s="201">
        <v>22</v>
      </c>
      <c r="D100" s="203">
        <v>43009</v>
      </c>
      <c r="E100" s="201">
        <v>5</v>
      </c>
      <c r="F100">
        <v>6</v>
      </c>
    </row>
    <row r="101" spans="3:6" x14ac:dyDescent="0.2">
      <c r="C101">
        <v>23</v>
      </c>
      <c r="D101" s="202">
        <v>43040</v>
      </c>
      <c r="F101">
        <v>1</v>
      </c>
    </row>
    <row r="102" spans="3:6" x14ac:dyDescent="0.2">
      <c r="C102" s="173">
        <v>24</v>
      </c>
      <c r="D102" s="202">
        <v>43070</v>
      </c>
      <c r="F102">
        <v>2</v>
      </c>
    </row>
    <row r="103" spans="3:6" x14ac:dyDescent="0.2">
      <c r="D103" s="202">
        <v>43101</v>
      </c>
      <c r="F103">
        <v>3</v>
      </c>
    </row>
    <row r="104" spans="3:6" x14ac:dyDescent="0.2">
      <c r="D104" s="202">
        <v>43132</v>
      </c>
      <c r="F104">
        <v>4</v>
      </c>
    </row>
    <row r="105" spans="3:6" x14ac:dyDescent="0.2">
      <c r="D105" s="202">
        <v>43160</v>
      </c>
      <c r="F105">
        <v>5</v>
      </c>
    </row>
    <row r="106" spans="3:6" x14ac:dyDescent="0.2">
      <c r="D106" s="202">
        <v>43191</v>
      </c>
      <c r="F106">
        <v>6</v>
      </c>
    </row>
    <row r="107" spans="3:6" x14ac:dyDescent="0.2">
      <c r="C107" s="201"/>
      <c r="D107" s="203">
        <v>43221</v>
      </c>
      <c r="E107" s="201"/>
      <c r="F107">
        <v>1</v>
      </c>
    </row>
    <row r="108" spans="3:6" x14ac:dyDescent="0.2">
      <c r="D108" s="202">
        <v>43252</v>
      </c>
      <c r="F108">
        <v>2</v>
      </c>
    </row>
    <row r="109" spans="3:6" x14ac:dyDescent="0.2">
      <c r="D109" s="202">
        <v>43282</v>
      </c>
      <c r="F109">
        <v>3</v>
      </c>
    </row>
    <row r="110" spans="3:6" x14ac:dyDescent="0.2">
      <c r="D110" s="202">
        <v>43313</v>
      </c>
      <c r="F110">
        <v>4</v>
      </c>
    </row>
    <row r="111" spans="3:6" x14ac:dyDescent="0.2">
      <c r="D111" s="202">
        <v>43344</v>
      </c>
      <c r="F111">
        <v>5</v>
      </c>
    </row>
    <row r="112" spans="3:6" x14ac:dyDescent="0.2">
      <c r="C112" s="201"/>
      <c r="D112" s="203">
        <v>43374</v>
      </c>
      <c r="E112" s="201"/>
      <c r="F112">
        <v>6</v>
      </c>
    </row>
    <row r="113" spans="3:6" x14ac:dyDescent="0.2">
      <c r="D113" s="202">
        <v>43405</v>
      </c>
      <c r="F113">
        <v>1</v>
      </c>
    </row>
    <row r="114" spans="3:6" x14ac:dyDescent="0.2">
      <c r="D114" s="202">
        <v>43435</v>
      </c>
      <c r="F114">
        <v>2</v>
      </c>
    </row>
    <row r="115" spans="3:6" x14ac:dyDescent="0.2">
      <c r="D115" s="202">
        <v>43466</v>
      </c>
      <c r="F115">
        <v>3</v>
      </c>
    </row>
    <row r="116" spans="3:6" x14ac:dyDescent="0.2">
      <c r="D116" s="202">
        <v>43497</v>
      </c>
      <c r="F116">
        <v>4</v>
      </c>
    </row>
    <row r="117" spans="3:6" x14ac:dyDescent="0.2">
      <c r="D117" s="202">
        <v>43525</v>
      </c>
      <c r="F117">
        <v>5</v>
      </c>
    </row>
    <row r="118" spans="3:6" x14ac:dyDescent="0.2">
      <c r="D118" s="202">
        <v>43556</v>
      </c>
      <c r="F118">
        <v>6</v>
      </c>
    </row>
    <row r="119" spans="3:6" x14ac:dyDescent="0.2">
      <c r="C119" s="201"/>
      <c r="D119" s="203">
        <v>43586</v>
      </c>
      <c r="E119" s="201"/>
      <c r="F119">
        <v>1</v>
      </c>
    </row>
    <row r="120" spans="3:6" x14ac:dyDescent="0.2">
      <c r="D120" s="202">
        <v>43617</v>
      </c>
      <c r="F120">
        <v>2</v>
      </c>
    </row>
    <row r="121" spans="3:6" x14ac:dyDescent="0.2">
      <c r="D121" s="202">
        <v>43647</v>
      </c>
      <c r="F121">
        <v>3</v>
      </c>
    </row>
    <row r="122" spans="3:6" x14ac:dyDescent="0.2">
      <c r="D122" s="202">
        <v>43678</v>
      </c>
      <c r="F122">
        <v>4</v>
      </c>
    </row>
    <row r="123" spans="3:6" x14ac:dyDescent="0.2">
      <c r="D123" s="202">
        <v>43709</v>
      </c>
      <c r="F123">
        <v>5</v>
      </c>
    </row>
    <row r="124" spans="3:6" x14ac:dyDescent="0.2">
      <c r="C124" s="201"/>
      <c r="D124" s="203">
        <v>43739</v>
      </c>
      <c r="E124" s="201"/>
      <c r="F124">
        <v>6</v>
      </c>
    </row>
    <row r="125" spans="3:6" x14ac:dyDescent="0.2">
      <c r="D125" s="202">
        <v>43770</v>
      </c>
      <c r="F125">
        <v>1</v>
      </c>
    </row>
    <row r="126" spans="3:6" x14ac:dyDescent="0.2">
      <c r="D126" s="202">
        <v>43800</v>
      </c>
      <c r="F126">
        <v>2</v>
      </c>
    </row>
    <row r="127" spans="3:6" x14ac:dyDescent="0.2">
      <c r="D127" s="202">
        <v>43831</v>
      </c>
      <c r="F127">
        <v>3</v>
      </c>
    </row>
    <row r="128" spans="3:6" x14ac:dyDescent="0.2">
      <c r="D128" s="202">
        <v>43862</v>
      </c>
      <c r="F128">
        <v>4</v>
      </c>
    </row>
    <row r="129" spans="3:6" x14ac:dyDescent="0.2">
      <c r="D129" s="202">
        <v>43891</v>
      </c>
      <c r="F129">
        <v>5</v>
      </c>
    </row>
    <row r="130" spans="3:6" x14ac:dyDescent="0.2">
      <c r="D130" s="202">
        <v>43922</v>
      </c>
      <c r="F130">
        <v>6</v>
      </c>
    </row>
    <row r="131" spans="3:6" x14ac:dyDescent="0.2">
      <c r="C131" s="201"/>
      <c r="D131" s="203">
        <v>43952</v>
      </c>
      <c r="E131" s="201"/>
      <c r="F131">
        <v>1</v>
      </c>
    </row>
    <row r="132" spans="3:6" x14ac:dyDescent="0.2">
      <c r="D132" s="202">
        <v>43983</v>
      </c>
      <c r="F132">
        <v>2</v>
      </c>
    </row>
    <row r="133" spans="3:6" x14ac:dyDescent="0.2">
      <c r="D133" s="202">
        <v>44013</v>
      </c>
      <c r="F133">
        <v>3</v>
      </c>
    </row>
    <row r="134" spans="3:6" x14ac:dyDescent="0.2">
      <c r="D134" s="202">
        <v>44044</v>
      </c>
      <c r="F134">
        <v>4</v>
      </c>
    </row>
    <row r="135" spans="3:6" x14ac:dyDescent="0.2">
      <c r="D135" s="202">
        <v>44075</v>
      </c>
      <c r="F135">
        <v>5</v>
      </c>
    </row>
    <row r="136" spans="3:6" x14ac:dyDescent="0.2">
      <c r="C136" s="201"/>
      <c r="D136" s="203">
        <v>44105</v>
      </c>
      <c r="E136" s="201"/>
      <c r="F136">
        <v>6</v>
      </c>
    </row>
    <row r="137" spans="3:6" x14ac:dyDescent="0.2">
      <c r="D137" s="202">
        <v>44136</v>
      </c>
      <c r="F137">
        <v>1</v>
      </c>
    </row>
    <row r="138" spans="3:6" x14ac:dyDescent="0.2">
      <c r="D138" s="202">
        <v>44166</v>
      </c>
      <c r="F138">
        <v>2</v>
      </c>
    </row>
    <row r="139" spans="3:6" x14ac:dyDescent="0.2">
      <c r="D139" s="202">
        <v>44197</v>
      </c>
      <c r="F139">
        <v>3</v>
      </c>
    </row>
    <row r="140" spans="3:6" x14ac:dyDescent="0.2">
      <c r="D140" s="202">
        <v>44228</v>
      </c>
      <c r="F140">
        <v>4</v>
      </c>
    </row>
    <row r="141" spans="3:6" x14ac:dyDescent="0.2">
      <c r="D141" s="202">
        <v>44256</v>
      </c>
      <c r="F141">
        <v>5</v>
      </c>
    </row>
    <row r="142" spans="3:6" x14ac:dyDescent="0.2">
      <c r="D142" s="202">
        <v>44287</v>
      </c>
      <c r="F142">
        <v>6</v>
      </c>
    </row>
    <row r="143" spans="3:6" x14ac:dyDescent="0.2">
      <c r="C143" s="201"/>
      <c r="D143" s="203">
        <v>44317</v>
      </c>
      <c r="E143" s="201"/>
      <c r="F143">
        <v>1</v>
      </c>
    </row>
    <row r="144" spans="3:6" x14ac:dyDescent="0.2">
      <c r="D144" s="202">
        <v>44348</v>
      </c>
      <c r="F144">
        <v>2</v>
      </c>
    </row>
    <row r="145" spans="3:6" x14ac:dyDescent="0.2">
      <c r="D145" s="202">
        <v>44378</v>
      </c>
      <c r="F145">
        <v>3</v>
      </c>
    </row>
    <row r="146" spans="3:6" x14ac:dyDescent="0.2">
      <c r="D146" s="202">
        <v>44409</v>
      </c>
      <c r="F146">
        <v>4</v>
      </c>
    </row>
    <row r="147" spans="3:6" x14ac:dyDescent="0.2">
      <c r="D147" s="202">
        <v>44440</v>
      </c>
      <c r="F147">
        <v>5</v>
      </c>
    </row>
    <row r="148" spans="3:6" x14ac:dyDescent="0.2">
      <c r="C148" s="201"/>
      <c r="D148" s="203">
        <v>44470</v>
      </c>
      <c r="E148" s="201"/>
      <c r="F148">
        <v>6</v>
      </c>
    </row>
    <row r="149" spans="3:6" x14ac:dyDescent="0.2">
      <c r="D149" s="202">
        <v>44501</v>
      </c>
      <c r="F149">
        <v>1</v>
      </c>
    </row>
    <row r="150" spans="3:6" x14ac:dyDescent="0.2">
      <c r="D150" s="202">
        <v>44531</v>
      </c>
      <c r="F150">
        <v>2</v>
      </c>
    </row>
    <row r="151" spans="3:6" x14ac:dyDescent="0.2">
      <c r="D151" s="202">
        <v>44562</v>
      </c>
      <c r="F151">
        <v>3</v>
      </c>
    </row>
    <row r="152" spans="3:6" x14ac:dyDescent="0.2">
      <c r="D152" s="202">
        <v>44593</v>
      </c>
      <c r="F152">
        <v>4</v>
      </c>
    </row>
    <row r="153" spans="3:6" x14ac:dyDescent="0.2">
      <c r="D153" s="202">
        <v>44621</v>
      </c>
      <c r="F153">
        <v>5</v>
      </c>
    </row>
    <row r="154" spans="3:6" x14ac:dyDescent="0.2">
      <c r="D154" s="202">
        <v>44652</v>
      </c>
      <c r="F154">
        <v>6</v>
      </c>
    </row>
    <row r="155" spans="3:6" x14ac:dyDescent="0.2">
      <c r="C155" s="201"/>
      <c r="D155" s="203">
        <v>44682</v>
      </c>
      <c r="E155" s="201"/>
      <c r="F155">
        <v>1</v>
      </c>
    </row>
    <row r="156" spans="3:6" x14ac:dyDescent="0.2">
      <c r="D156" s="202">
        <v>44713</v>
      </c>
      <c r="F156">
        <v>2</v>
      </c>
    </row>
    <row r="157" spans="3:6" x14ac:dyDescent="0.2">
      <c r="D157" s="202">
        <v>44743</v>
      </c>
      <c r="F157">
        <v>3</v>
      </c>
    </row>
    <row r="158" spans="3:6" x14ac:dyDescent="0.2">
      <c r="D158" s="202">
        <v>44774</v>
      </c>
      <c r="F158">
        <v>4</v>
      </c>
    </row>
    <row r="159" spans="3:6" x14ac:dyDescent="0.2">
      <c r="D159" s="202">
        <v>44805</v>
      </c>
      <c r="F159">
        <v>5</v>
      </c>
    </row>
    <row r="160" spans="3:6" x14ac:dyDescent="0.2">
      <c r="C160" s="201"/>
      <c r="D160" s="203">
        <v>44835</v>
      </c>
      <c r="E160" s="201"/>
      <c r="F160">
        <v>6</v>
      </c>
    </row>
    <row r="161" spans="3:6" x14ac:dyDescent="0.2">
      <c r="D161" s="202">
        <v>44866</v>
      </c>
      <c r="F161">
        <v>1</v>
      </c>
    </row>
    <row r="162" spans="3:6" x14ac:dyDescent="0.2">
      <c r="D162" s="202">
        <v>44896</v>
      </c>
      <c r="F162">
        <v>2</v>
      </c>
    </row>
    <row r="163" spans="3:6" x14ac:dyDescent="0.2">
      <c r="D163" s="202">
        <v>44927</v>
      </c>
      <c r="F163">
        <v>3</v>
      </c>
    </row>
    <row r="164" spans="3:6" x14ac:dyDescent="0.2">
      <c r="D164" s="202">
        <v>44958</v>
      </c>
      <c r="F164">
        <v>4</v>
      </c>
    </row>
    <row r="165" spans="3:6" x14ac:dyDescent="0.2">
      <c r="D165" s="202">
        <v>44986</v>
      </c>
      <c r="F165">
        <v>5</v>
      </c>
    </row>
    <row r="166" spans="3:6" x14ac:dyDescent="0.2">
      <c r="D166" s="202">
        <v>45017</v>
      </c>
      <c r="F166">
        <v>6</v>
      </c>
    </row>
    <row r="167" spans="3:6" x14ac:dyDescent="0.2">
      <c r="C167" s="201"/>
      <c r="D167" s="203">
        <v>45047</v>
      </c>
      <c r="E167" s="201"/>
      <c r="F167">
        <v>1</v>
      </c>
    </row>
    <row r="168" spans="3:6" x14ac:dyDescent="0.2">
      <c r="D168" s="202">
        <v>45078</v>
      </c>
      <c r="F168">
        <v>2</v>
      </c>
    </row>
    <row r="169" spans="3:6" x14ac:dyDescent="0.2">
      <c r="D169" s="202">
        <v>45108</v>
      </c>
      <c r="F169">
        <v>3</v>
      </c>
    </row>
    <row r="170" spans="3:6" x14ac:dyDescent="0.2">
      <c r="D170" s="202">
        <v>45139</v>
      </c>
      <c r="F170">
        <v>4</v>
      </c>
    </row>
    <row r="171" spans="3:6" x14ac:dyDescent="0.2">
      <c r="D171" s="202">
        <v>45170</v>
      </c>
      <c r="F171">
        <v>5</v>
      </c>
    </row>
    <row r="172" spans="3:6" x14ac:dyDescent="0.2">
      <c r="C172" s="201"/>
      <c r="D172" s="203">
        <v>45200</v>
      </c>
      <c r="E172" s="201"/>
      <c r="F172">
        <v>6</v>
      </c>
    </row>
    <row r="173" spans="3:6" x14ac:dyDescent="0.2">
      <c r="D173" s="202">
        <v>45231</v>
      </c>
      <c r="F173">
        <v>1</v>
      </c>
    </row>
    <row r="174" spans="3:6" x14ac:dyDescent="0.2">
      <c r="D174" s="202">
        <v>45261</v>
      </c>
      <c r="F174">
        <v>2</v>
      </c>
    </row>
    <row r="175" spans="3:6" x14ac:dyDescent="0.2">
      <c r="D175" s="202">
        <v>45292</v>
      </c>
      <c r="F175">
        <v>3</v>
      </c>
    </row>
    <row r="176" spans="3:6" x14ac:dyDescent="0.2">
      <c r="D176" s="202">
        <v>45323</v>
      </c>
      <c r="F176">
        <v>4</v>
      </c>
    </row>
    <row r="177" spans="4:6" x14ac:dyDescent="0.2">
      <c r="D177" s="202">
        <v>45352</v>
      </c>
      <c r="F177">
        <v>5</v>
      </c>
    </row>
    <row r="178" spans="4:6" x14ac:dyDescent="0.2">
      <c r="D178" s="202">
        <v>45383</v>
      </c>
      <c r="F178">
        <v>6</v>
      </c>
    </row>
    <row r="179" spans="4:6" x14ac:dyDescent="0.2">
      <c r="D179" s="203">
        <v>45413</v>
      </c>
      <c r="E179" s="201"/>
      <c r="F179" s="20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36"/>
  <sheetViews>
    <sheetView workbookViewId="0">
      <selection activeCell="I41" sqref="I41"/>
    </sheetView>
  </sheetViews>
  <sheetFormatPr defaultRowHeight="12.75" x14ac:dyDescent="0.2"/>
  <cols>
    <col min="4" max="6" width="9.7109375" bestFit="1" customWidth="1"/>
    <col min="7" max="8" width="13.28515625" bestFit="1" customWidth="1"/>
  </cols>
  <sheetData>
    <row r="6" spans="3:7" ht="13.5" thickBot="1" x14ac:dyDescent="0.25"/>
    <row r="7" spans="3:7" ht="13.5" thickTop="1" x14ac:dyDescent="0.2">
      <c r="C7" s="129" t="s">
        <v>55</v>
      </c>
      <c r="D7" s="130">
        <v>24000</v>
      </c>
      <c r="E7" s="130">
        <v>24000</v>
      </c>
      <c r="F7" s="133">
        <v>24000</v>
      </c>
      <c r="G7" s="134">
        <v>24000</v>
      </c>
    </row>
    <row r="8" spans="3:7" x14ac:dyDescent="0.2">
      <c r="C8" s="131" t="s">
        <v>56</v>
      </c>
      <c r="D8" s="2">
        <v>20000</v>
      </c>
      <c r="E8" s="2">
        <v>22000</v>
      </c>
      <c r="F8" s="13">
        <v>23000</v>
      </c>
      <c r="G8" s="135"/>
    </row>
    <row r="9" spans="3:7" x14ac:dyDescent="0.2">
      <c r="C9" s="131" t="s">
        <v>57</v>
      </c>
      <c r="D9" s="2">
        <f>D7-D8</f>
        <v>4000</v>
      </c>
      <c r="E9" s="2">
        <f t="shared" ref="E9:F9" si="0">E7-E8</f>
        <v>2000</v>
      </c>
      <c r="F9" s="13">
        <f t="shared" si="0"/>
        <v>1000</v>
      </c>
      <c r="G9" s="135"/>
    </row>
    <row r="10" spans="3:7" x14ac:dyDescent="0.2">
      <c r="C10" s="131" t="s">
        <v>58</v>
      </c>
      <c r="D10" s="2">
        <f>ROUND(D9/D7%,2)</f>
        <v>16.670000000000002</v>
      </c>
      <c r="E10" s="2">
        <f t="shared" ref="E10:F10" si="1">ROUND(E9/E7%,2)</f>
        <v>8.33</v>
      </c>
      <c r="F10" s="13">
        <f t="shared" si="1"/>
        <v>4.17</v>
      </c>
      <c r="G10" s="135">
        <v>4.0599999999999996</v>
      </c>
    </row>
    <row r="11" spans="3:7" ht="13.5" thickBot="1" x14ac:dyDescent="0.25">
      <c r="C11" s="132" t="s">
        <v>0</v>
      </c>
      <c r="D11" s="4">
        <f>ROUND(D7*D10%,2)-D9</f>
        <v>0.8000000000001819</v>
      </c>
      <c r="E11" s="4">
        <f t="shared" ref="E11:F11" si="2">ROUND(E7*E10%,2)-E9</f>
        <v>-0.79999999999995453</v>
      </c>
      <c r="F11" s="14">
        <f t="shared" si="2"/>
        <v>0.79999999999995453</v>
      </c>
      <c r="G11" s="135"/>
    </row>
    <row r="12" spans="3:7" ht="13.5" thickTop="1" x14ac:dyDescent="0.2">
      <c r="G12" s="135">
        <f>ROUND(F7*G10%,2)</f>
        <v>974.4</v>
      </c>
    </row>
    <row r="13" spans="3:7" ht="13.5" thickBot="1" x14ac:dyDescent="0.25">
      <c r="G13" s="136">
        <f>G7-G12</f>
        <v>23025.599999999999</v>
      </c>
    </row>
    <row r="14" spans="3:7" ht="13.5" thickTop="1" x14ac:dyDescent="0.2">
      <c r="D14" s="129" t="s">
        <v>59</v>
      </c>
      <c r="E14" s="11">
        <v>1</v>
      </c>
    </row>
    <row r="15" spans="3:7" x14ac:dyDescent="0.2">
      <c r="D15" s="131" t="s">
        <v>60</v>
      </c>
      <c r="E15" s="3">
        <v>1</v>
      </c>
    </row>
    <row r="16" spans="3:7" x14ac:dyDescent="0.2">
      <c r="D16" s="131" t="s">
        <v>61</v>
      </c>
      <c r="E16" s="3">
        <v>1</v>
      </c>
    </row>
    <row r="17" spans="3:11" x14ac:dyDescent="0.2">
      <c r="D17" s="131" t="s">
        <v>62</v>
      </c>
      <c r="E17" s="3">
        <v>1</v>
      </c>
    </row>
    <row r="18" spans="3:11" ht="13.5" thickBot="1" x14ac:dyDescent="0.25">
      <c r="D18" s="5"/>
      <c r="E18" s="12">
        <f>SUM(E14:E17)</f>
        <v>4</v>
      </c>
    </row>
    <row r="19" spans="3:11" ht="13.5" thickTop="1" x14ac:dyDescent="0.2"/>
    <row r="21" spans="3:11" x14ac:dyDescent="0.2">
      <c r="E21" s="101" t="s">
        <v>41</v>
      </c>
      <c r="I21" s="102"/>
      <c r="J21" s="103"/>
      <c r="K21" s="104" t="s">
        <v>63</v>
      </c>
    </row>
    <row r="22" spans="3:11" x14ac:dyDescent="0.2">
      <c r="C22" s="105" t="s">
        <v>64</v>
      </c>
      <c r="D22" s="106" t="s">
        <v>65</v>
      </c>
      <c r="E22" s="107" t="s">
        <v>66</v>
      </c>
      <c r="F22" s="106"/>
      <c r="G22" s="106"/>
      <c r="H22" s="106" t="s">
        <v>67</v>
      </c>
      <c r="I22" s="106" t="s">
        <v>68</v>
      </c>
      <c r="J22" s="108" t="s">
        <v>69</v>
      </c>
      <c r="K22" s="109">
        <v>100</v>
      </c>
    </row>
    <row r="23" spans="3:11" x14ac:dyDescent="0.2">
      <c r="C23" s="110">
        <v>41091</v>
      </c>
      <c r="D23" s="111">
        <v>1</v>
      </c>
      <c r="E23" s="112">
        <v>1</v>
      </c>
      <c r="F23" s="113">
        <v>100</v>
      </c>
      <c r="G23" s="114">
        <f t="shared" ref="G23:G33" si="3">ROUND(E23/F23,10)+1</f>
        <v>1.01</v>
      </c>
      <c r="H23" s="115">
        <f>G23</f>
        <v>1.01</v>
      </c>
      <c r="I23" s="116">
        <f t="shared" ref="I23:I36" si="4">ROUND(H23*100,4)-100</f>
        <v>1</v>
      </c>
      <c r="J23" s="117">
        <f>ROUND(K22*H23,6)</f>
        <v>101</v>
      </c>
      <c r="K23" s="118">
        <f t="shared" ref="K23:K33" si="5">ROUND(K22*E23%,2)+K22</f>
        <v>101</v>
      </c>
    </row>
    <row r="24" spans="3:11" x14ac:dyDescent="0.2">
      <c r="C24" s="110">
        <v>41122</v>
      </c>
      <c r="D24" s="119">
        <v>2</v>
      </c>
      <c r="E24" s="112">
        <v>1</v>
      </c>
      <c r="F24" s="120">
        <v>100</v>
      </c>
      <c r="G24" s="121">
        <f t="shared" si="3"/>
        <v>1.01</v>
      </c>
      <c r="H24" s="121">
        <f t="shared" ref="H24:H33" si="6">ROUND(H23*G24,10)</f>
        <v>1.0201</v>
      </c>
      <c r="I24" s="122">
        <f t="shared" si="4"/>
        <v>2.0100000000000051</v>
      </c>
      <c r="J24" s="117">
        <f>ROUND(K22*H24,6)</f>
        <v>102.01</v>
      </c>
      <c r="K24" s="123">
        <f t="shared" si="5"/>
        <v>102.01</v>
      </c>
    </row>
    <row r="25" spans="3:11" x14ac:dyDescent="0.2">
      <c r="C25" s="110">
        <v>41153</v>
      </c>
      <c r="D25" s="111">
        <v>3</v>
      </c>
      <c r="E25" s="112">
        <v>1</v>
      </c>
      <c r="F25" s="120">
        <v>100</v>
      </c>
      <c r="G25" s="121">
        <f t="shared" si="3"/>
        <v>1.01</v>
      </c>
      <c r="H25" s="121">
        <f t="shared" si="6"/>
        <v>1.0303009999999999</v>
      </c>
      <c r="I25" s="122">
        <f t="shared" si="4"/>
        <v>3.0301000000000045</v>
      </c>
      <c r="J25" s="117">
        <f>ROUND(K22*H25,6)</f>
        <v>103.0301</v>
      </c>
      <c r="K25" s="123">
        <f t="shared" si="5"/>
        <v>103.03</v>
      </c>
    </row>
    <row r="26" spans="3:11" x14ac:dyDescent="0.2">
      <c r="C26" s="110">
        <v>41183</v>
      </c>
      <c r="D26" s="119">
        <v>4</v>
      </c>
      <c r="E26" s="112">
        <v>1</v>
      </c>
      <c r="F26" s="120">
        <v>100</v>
      </c>
      <c r="G26" s="121">
        <f t="shared" si="3"/>
        <v>1.01</v>
      </c>
      <c r="H26" s="121">
        <f t="shared" si="6"/>
        <v>1.04060401</v>
      </c>
      <c r="I26" s="124">
        <f t="shared" si="4"/>
        <v>4.0604000000000013</v>
      </c>
      <c r="J26" s="117">
        <f>ROUND(K22*H26,6)</f>
        <v>104.060401</v>
      </c>
      <c r="K26" s="123">
        <f t="shared" si="5"/>
        <v>104.06</v>
      </c>
    </row>
    <row r="27" spans="3:11" x14ac:dyDescent="0.2">
      <c r="C27" s="110">
        <v>41214</v>
      </c>
      <c r="D27" s="111">
        <v>5</v>
      </c>
      <c r="E27" s="112"/>
      <c r="F27" s="120">
        <v>100</v>
      </c>
      <c r="G27" s="121">
        <f t="shared" si="3"/>
        <v>1</v>
      </c>
      <c r="H27" s="121">
        <f t="shared" si="6"/>
        <v>1.04060401</v>
      </c>
      <c r="I27" s="122">
        <f t="shared" si="4"/>
        <v>4.0604000000000013</v>
      </c>
      <c r="J27" s="117">
        <f>ROUND(K22*H27,6)</f>
        <v>104.060401</v>
      </c>
      <c r="K27" s="123">
        <f t="shared" si="5"/>
        <v>104.06</v>
      </c>
    </row>
    <row r="28" spans="3:11" x14ac:dyDescent="0.2">
      <c r="C28" s="110">
        <v>41244</v>
      </c>
      <c r="D28" s="119">
        <v>6</v>
      </c>
      <c r="E28" s="112"/>
      <c r="F28" s="120">
        <v>100</v>
      </c>
      <c r="G28" s="121">
        <f t="shared" si="3"/>
        <v>1</v>
      </c>
      <c r="H28" s="121">
        <f t="shared" si="6"/>
        <v>1.04060401</v>
      </c>
      <c r="I28" s="124">
        <f t="shared" si="4"/>
        <v>4.0604000000000013</v>
      </c>
      <c r="J28" s="117">
        <f>ROUND(K22*H28,6)</f>
        <v>104.060401</v>
      </c>
      <c r="K28" s="123">
        <f t="shared" si="5"/>
        <v>104.06</v>
      </c>
    </row>
    <row r="29" spans="3:11" x14ac:dyDescent="0.2">
      <c r="C29" s="110">
        <v>41275</v>
      </c>
      <c r="D29" s="111">
        <v>7</v>
      </c>
      <c r="E29" s="112"/>
      <c r="F29" s="120">
        <v>100</v>
      </c>
      <c r="G29" s="121">
        <f t="shared" si="3"/>
        <v>1</v>
      </c>
      <c r="H29" s="121">
        <f t="shared" si="6"/>
        <v>1.04060401</v>
      </c>
      <c r="I29" s="122">
        <f t="shared" si="4"/>
        <v>4.0604000000000013</v>
      </c>
      <c r="J29" s="117">
        <f>ROUND(K22*H29,6)</f>
        <v>104.060401</v>
      </c>
      <c r="K29" s="123">
        <f t="shared" si="5"/>
        <v>104.06</v>
      </c>
    </row>
    <row r="30" spans="3:11" x14ac:dyDescent="0.2">
      <c r="C30" s="110">
        <v>41306</v>
      </c>
      <c r="D30" s="119">
        <v>8</v>
      </c>
      <c r="E30" s="112"/>
      <c r="F30" s="120">
        <v>100</v>
      </c>
      <c r="G30" s="121">
        <f t="shared" si="3"/>
        <v>1</v>
      </c>
      <c r="H30" s="121">
        <f t="shared" si="6"/>
        <v>1.04060401</v>
      </c>
      <c r="I30" s="122">
        <f t="shared" si="4"/>
        <v>4.0604000000000013</v>
      </c>
      <c r="J30" s="117">
        <f>ROUND(K22*H30,6)</f>
        <v>104.060401</v>
      </c>
      <c r="K30" s="123">
        <f t="shared" si="5"/>
        <v>104.06</v>
      </c>
    </row>
    <row r="31" spans="3:11" x14ac:dyDescent="0.2">
      <c r="C31" s="110">
        <v>41334</v>
      </c>
      <c r="D31" s="111">
        <v>9</v>
      </c>
      <c r="E31" s="112"/>
      <c r="F31" s="120">
        <v>100</v>
      </c>
      <c r="G31" s="121">
        <f t="shared" si="3"/>
        <v>1</v>
      </c>
      <c r="H31" s="121">
        <f t="shared" si="6"/>
        <v>1.04060401</v>
      </c>
      <c r="I31" s="122">
        <f t="shared" si="4"/>
        <v>4.0604000000000013</v>
      </c>
      <c r="J31" s="117">
        <f>ROUND(K22*H31,6)</f>
        <v>104.060401</v>
      </c>
      <c r="K31" s="123">
        <f t="shared" si="5"/>
        <v>104.06</v>
      </c>
    </row>
    <row r="32" spans="3:11" x14ac:dyDescent="0.2">
      <c r="C32" s="110">
        <v>41365</v>
      </c>
      <c r="D32" s="119">
        <v>10</v>
      </c>
      <c r="E32" s="112"/>
      <c r="F32" s="120">
        <v>100</v>
      </c>
      <c r="G32" s="121">
        <f t="shared" si="3"/>
        <v>1</v>
      </c>
      <c r="H32" s="121">
        <f t="shared" si="6"/>
        <v>1.04060401</v>
      </c>
      <c r="I32" s="122">
        <f t="shared" si="4"/>
        <v>4.0604000000000013</v>
      </c>
      <c r="J32" s="117">
        <f>ROUND(K22*H32,6)</f>
        <v>104.060401</v>
      </c>
      <c r="K32" s="123">
        <f t="shared" si="5"/>
        <v>104.06</v>
      </c>
    </row>
    <row r="33" spans="3:11" x14ac:dyDescent="0.2">
      <c r="C33" s="110">
        <v>41395</v>
      </c>
      <c r="D33" s="111">
        <v>11</v>
      </c>
      <c r="E33" s="112"/>
      <c r="F33" s="120">
        <v>100</v>
      </c>
      <c r="G33" s="121">
        <f t="shared" si="3"/>
        <v>1</v>
      </c>
      <c r="H33" s="121">
        <f t="shared" si="6"/>
        <v>1.04060401</v>
      </c>
      <c r="I33" s="122">
        <f t="shared" si="4"/>
        <v>4.0604000000000013</v>
      </c>
      <c r="J33" s="117">
        <f>ROUND(K22*H33,6)</f>
        <v>104.060401</v>
      </c>
      <c r="K33" s="123">
        <f t="shared" si="5"/>
        <v>104.06</v>
      </c>
    </row>
    <row r="34" spans="3:11" x14ac:dyDescent="0.2">
      <c r="C34" s="110">
        <v>41426</v>
      </c>
      <c r="D34" s="125">
        <v>12</v>
      </c>
      <c r="E34" s="126"/>
      <c r="F34" s="127">
        <v>100</v>
      </c>
      <c r="G34" s="128">
        <f>ROUND(E34/F34,10)+1</f>
        <v>1</v>
      </c>
      <c r="H34" s="128">
        <f>ROUND(H33*G34,10)</f>
        <v>1.04060401</v>
      </c>
      <c r="I34" s="124">
        <f t="shared" si="4"/>
        <v>4.0604000000000013</v>
      </c>
      <c r="J34" s="117">
        <f>ROUND(K22*H34,6)</f>
        <v>104.060401</v>
      </c>
      <c r="K34" s="123">
        <f>ROUND(K33*E34%,2)+K33</f>
        <v>104.06</v>
      </c>
    </row>
    <row r="35" spans="3:11" x14ac:dyDescent="0.2">
      <c r="C35" s="110">
        <v>41091</v>
      </c>
      <c r="D35" s="111">
        <v>13</v>
      </c>
      <c r="E35" s="112"/>
      <c r="F35" s="120">
        <v>100</v>
      </c>
      <c r="G35" s="121">
        <f>ROUND(E35/F35,10)+1</f>
        <v>1</v>
      </c>
      <c r="H35" s="121">
        <f>ROUND(H34*G35,10)</f>
        <v>1.04060401</v>
      </c>
      <c r="I35" s="122">
        <f t="shared" si="4"/>
        <v>4.0604000000000013</v>
      </c>
      <c r="J35" s="117">
        <f>ROUND(K22*H35,6)</f>
        <v>104.060401</v>
      </c>
      <c r="K35" s="123">
        <f>ROUND(K34*E35%,2)+K34</f>
        <v>104.06</v>
      </c>
    </row>
    <row r="36" spans="3:11" x14ac:dyDescent="0.2">
      <c r="C36" s="110">
        <v>41122</v>
      </c>
      <c r="D36" s="119">
        <v>14</v>
      </c>
      <c r="E36" s="112"/>
      <c r="F36" s="120">
        <v>100</v>
      </c>
      <c r="G36" s="121">
        <f>ROUND(E36/F36,10)+1</f>
        <v>1</v>
      </c>
      <c r="H36" s="121">
        <f>ROUND(H35*G36,10)</f>
        <v>1.04060401</v>
      </c>
      <c r="I36" s="122">
        <f t="shared" si="4"/>
        <v>4.0604000000000013</v>
      </c>
      <c r="J36" s="117">
        <f>ROUND(K22*H36,6)</f>
        <v>104.060401</v>
      </c>
      <c r="K36" s="123">
        <f>ROUND(K35*E36%,2)+K35</f>
        <v>104.06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Tab.DERAL</vt:lpstr>
      <vt:lpstr>Plan1</vt:lpstr>
      <vt:lpstr>últ.10anosDERALlimites</vt:lpstr>
      <vt:lpstr>últ.10AnosDERAL</vt:lpstr>
      <vt:lpstr>Quadro reaj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000361740671</dc:creator>
  <cp:lastModifiedBy>Luiz</cp:lastModifiedBy>
  <cp:revision/>
  <cp:lastPrinted>2016-05-19T12:26:47Z</cp:lastPrinted>
  <dcterms:created xsi:type="dcterms:W3CDTF">2008-06-02T18:35:20Z</dcterms:created>
  <dcterms:modified xsi:type="dcterms:W3CDTF">2016-08-10T21:37:34Z</dcterms:modified>
</cp:coreProperties>
</file>